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obemmann\AppData\Local\Microsoft\Windows\INetCache\Content.Outlook\G1DI8FFK\"/>
    </mc:Choice>
  </mc:AlternateContent>
  <bookViews>
    <workbookView xWindow="0" yWindow="0" windowWidth="7470" windowHeight="6015" tabRatio="168"/>
  </bookViews>
  <sheets>
    <sheet name="sommaire uni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'sommaire univ'!$B$6:$AT$33</definedName>
    <definedName name="_xlnm.Print_Titles" localSheetId="0">'sommaire univ'!$A:$A,'sommaire univ'!$1:$5</definedName>
  </definedNames>
  <calcPr calcId="162913" fullPrecision="0"/>
</workbook>
</file>

<file path=xl/calcChain.xml><?xml version="1.0" encoding="utf-8"?>
<calcChain xmlns="http://schemas.openxmlformats.org/spreadsheetml/2006/main">
  <c r="AH13" i="1" l="1"/>
  <c r="AH10" i="1" l="1"/>
  <c r="B7" i="1" l="1"/>
  <c r="C7" i="1"/>
  <c r="D7" i="1"/>
  <c r="F7" i="1"/>
  <c r="G7" i="1"/>
  <c r="H7" i="1"/>
  <c r="J7" i="1"/>
  <c r="K7" i="1"/>
  <c r="L7" i="1"/>
  <c r="R7" i="1"/>
  <c r="V7" i="1"/>
  <c r="Z7" i="1"/>
  <c r="AD7" i="1"/>
  <c r="AH7" i="1"/>
  <c r="AT7" i="1"/>
  <c r="B8" i="1"/>
  <c r="C8" i="1"/>
  <c r="D8" i="1"/>
  <c r="F8" i="1"/>
  <c r="G8" i="1"/>
  <c r="H8" i="1"/>
  <c r="J8" i="1"/>
  <c r="K8" i="1"/>
  <c r="L8" i="1"/>
  <c r="R8" i="1"/>
  <c r="V8" i="1"/>
  <c r="Z8" i="1"/>
  <c r="AD8" i="1"/>
  <c r="AT8" i="1"/>
  <c r="B9" i="1"/>
  <c r="C9" i="1"/>
  <c r="D9" i="1"/>
  <c r="F9" i="1"/>
  <c r="G9" i="1"/>
  <c r="H9" i="1"/>
  <c r="J9" i="1"/>
  <c r="K9" i="1"/>
  <c r="L9" i="1"/>
  <c r="O9" i="1"/>
  <c r="P9" i="1"/>
  <c r="Q9" i="1"/>
  <c r="S9" i="1"/>
  <c r="T9" i="1"/>
  <c r="U9" i="1"/>
  <c r="Z9" i="1"/>
  <c r="AD9" i="1"/>
  <c r="AH9" i="1"/>
  <c r="AT9" i="1"/>
  <c r="B10" i="1"/>
  <c r="C10" i="1"/>
  <c r="D10" i="1"/>
  <c r="F10" i="1"/>
  <c r="G10" i="1"/>
  <c r="H10" i="1"/>
  <c r="J10" i="1"/>
  <c r="K10" i="1"/>
  <c r="L10" i="1"/>
  <c r="R10" i="1"/>
  <c r="V10" i="1"/>
  <c r="W10" i="1"/>
  <c r="X10" i="1"/>
  <c r="Y10" i="1"/>
  <c r="AA10" i="1"/>
  <c r="AB10" i="1"/>
  <c r="AD10" i="1" s="1"/>
  <c r="AT10" i="1"/>
  <c r="B11" i="1"/>
  <c r="C11" i="1"/>
  <c r="D11" i="1"/>
  <c r="F11" i="1"/>
  <c r="G11" i="1"/>
  <c r="H11" i="1"/>
  <c r="J11" i="1"/>
  <c r="K11" i="1"/>
  <c r="L11" i="1"/>
  <c r="R11" i="1"/>
  <c r="V11" i="1"/>
  <c r="W11" i="1"/>
  <c r="X11" i="1"/>
  <c r="Y11" i="1"/>
  <c r="AA11" i="1"/>
  <c r="AB11" i="1"/>
  <c r="AD11" i="1" s="1"/>
  <c r="AC11" i="1"/>
  <c r="AT11" i="1"/>
  <c r="M12" i="1"/>
  <c r="R12" i="1"/>
  <c r="V12" i="1"/>
  <c r="Z12" i="1"/>
  <c r="AD12" i="1"/>
  <c r="AT12" i="1"/>
  <c r="B13" i="1"/>
  <c r="C13" i="1"/>
  <c r="D13" i="1"/>
  <c r="F13" i="1"/>
  <c r="G13" i="1"/>
  <c r="H13" i="1"/>
  <c r="J13" i="1"/>
  <c r="K13" i="1"/>
  <c r="L13" i="1"/>
  <c r="O13" i="1"/>
  <c r="P13" i="1"/>
  <c r="Q13" i="1"/>
  <c r="Q36" i="1" s="1"/>
  <c r="Q38" i="1" s="1"/>
  <c r="S13" i="1"/>
  <c r="T13" i="1"/>
  <c r="U13" i="1"/>
  <c r="W13" i="1"/>
  <c r="X13" i="1"/>
  <c r="Y13" i="1"/>
  <c r="AA13" i="1"/>
  <c r="AB13" i="1"/>
  <c r="AC13" i="1"/>
  <c r="AT13" i="1"/>
  <c r="R14" i="1"/>
  <c r="V14" i="1"/>
  <c r="AD14" i="1"/>
  <c r="AT14" i="1"/>
  <c r="B16" i="1"/>
  <c r="C16" i="1"/>
  <c r="E16" i="1" s="1"/>
  <c r="D16" i="1"/>
  <c r="F16" i="1"/>
  <c r="G16" i="1"/>
  <c r="H16" i="1"/>
  <c r="M16" i="1"/>
  <c r="R16" i="1"/>
  <c r="S16" i="1"/>
  <c r="T16" i="1"/>
  <c r="U16" i="1"/>
  <c r="Z16" i="1"/>
  <c r="AD16" i="1"/>
  <c r="AH16" i="1"/>
  <c r="AT16" i="1"/>
  <c r="B17" i="1"/>
  <c r="C17" i="1"/>
  <c r="D17" i="1"/>
  <c r="F17" i="1"/>
  <c r="G17" i="1"/>
  <c r="H17" i="1"/>
  <c r="M17" i="1"/>
  <c r="R17" i="1"/>
  <c r="V17" i="1"/>
  <c r="W17" i="1"/>
  <c r="X17" i="1"/>
  <c r="Y17" i="1"/>
  <c r="AA17" i="1"/>
  <c r="AB17" i="1"/>
  <c r="AC17" i="1"/>
  <c r="AT17" i="1"/>
  <c r="B18" i="1"/>
  <c r="C18" i="1"/>
  <c r="D18" i="1"/>
  <c r="F18" i="1"/>
  <c r="G18" i="1"/>
  <c r="H18" i="1"/>
  <c r="J18" i="1"/>
  <c r="K18" i="1"/>
  <c r="L18" i="1"/>
  <c r="R18" i="1"/>
  <c r="V18" i="1"/>
  <c r="Z18" i="1"/>
  <c r="AA18" i="1"/>
  <c r="AB18" i="1"/>
  <c r="AC18" i="1"/>
  <c r="AC29" i="1" s="1"/>
  <c r="AT18" i="1"/>
  <c r="B19" i="1"/>
  <c r="C19" i="1"/>
  <c r="D19" i="1"/>
  <c r="AF19" i="1" s="1"/>
  <c r="AJ19" i="1" s="1"/>
  <c r="F19" i="1"/>
  <c r="G19" i="1"/>
  <c r="H19" i="1"/>
  <c r="M19" i="1"/>
  <c r="R19" i="1"/>
  <c r="V19" i="1"/>
  <c r="Z19" i="1"/>
  <c r="AD19" i="1"/>
  <c r="AH19" i="1"/>
  <c r="AT19" i="1"/>
  <c r="B20" i="1"/>
  <c r="C20" i="1"/>
  <c r="D20" i="1"/>
  <c r="I20" i="1"/>
  <c r="J20" i="1"/>
  <c r="K20" i="1"/>
  <c r="L20" i="1"/>
  <c r="R20" i="1"/>
  <c r="V20" i="1"/>
  <c r="Z20" i="1"/>
  <c r="AA20" i="1"/>
  <c r="AB20" i="1"/>
  <c r="AC20" i="1"/>
  <c r="AH20" i="1"/>
  <c r="AT20" i="1"/>
  <c r="B21" i="1"/>
  <c r="C21" i="1"/>
  <c r="D21" i="1"/>
  <c r="F21" i="1"/>
  <c r="G21" i="1"/>
  <c r="H21" i="1"/>
  <c r="M21" i="1"/>
  <c r="R21" i="1"/>
  <c r="V21" i="1"/>
  <c r="Z21" i="1"/>
  <c r="AD21" i="1"/>
  <c r="AT21" i="1"/>
  <c r="B22" i="1"/>
  <c r="C22" i="1"/>
  <c r="D22" i="1"/>
  <c r="F22" i="1"/>
  <c r="G22" i="1"/>
  <c r="I22" i="1" s="1"/>
  <c r="H22" i="1"/>
  <c r="M22" i="1"/>
  <c r="R22" i="1"/>
  <c r="V22" i="1"/>
  <c r="Z22" i="1"/>
  <c r="AD22" i="1"/>
  <c r="AT22" i="1"/>
  <c r="B23" i="1"/>
  <c r="C23" i="1"/>
  <c r="D23" i="1"/>
  <c r="AF23" i="1" s="1"/>
  <c r="F23" i="1"/>
  <c r="G23" i="1"/>
  <c r="H23" i="1"/>
  <c r="M23" i="1"/>
  <c r="R23" i="1"/>
  <c r="V23" i="1"/>
  <c r="Z23" i="1"/>
  <c r="AD23" i="1"/>
  <c r="AH23" i="1"/>
  <c r="AT23" i="1"/>
  <c r="B24" i="1"/>
  <c r="C24" i="1"/>
  <c r="D24" i="1"/>
  <c r="F24" i="1"/>
  <c r="G24" i="1"/>
  <c r="H24" i="1"/>
  <c r="M24" i="1"/>
  <c r="R24" i="1"/>
  <c r="V24" i="1"/>
  <c r="W24" i="1"/>
  <c r="X24" i="1"/>
  <c r="Y24" i="1"/>
  <c r="AD24" i="1"/>
  <c r="AH24" i="1"/>
  <c r="AT24" i="1"/>
  <c r="B25" i="1"/>
  <c r="C25" i="1"/>
  <c r="D25" i="1"/>
  <c r="E25" i="1" s="1"/>
  <c r="F25" i="1"/>
  <c r="G25" i="1"/>
  <c r="I25" i="1" s="1"/>
  <c r="H25" i="1"/>
  <c r="M25" i="1"/>
  <c r="R25" i="1"/>
  <c r="V25" i="1"/>
  <c r="Z25" i="1"/>
  <c r="AD25" i="1"/>
  <c r="AH25" i="1"/>
  <c r="AT25" i="1"/>
  <c r="B26" i="1"/>
  <c r="C26" i="1"/>
  <c r="D26" i="1"/>
  <c r="F26" i="1"/>
  <c r="G26" i="1"/>
  <c r="H26" i="1"/>
  <c r="M26" i="1"/>
  <c r="R26" i="1"/>
  <c r="V26" i="1"/>
  <c r="Z26" i="1"/>
  <c r="AD26" i="1"/>
  <c r="AH26" i="1"/>
  <c r="AT26" i="1"/>
  <c r="AL29" i="1"/>
  <c r="AM29" i="1"/>
  <c r="AN29" i="1"/>
  <c r="AO29" i="1"/>
  <c r="AP29" i="1"/>
  <c r="AQ29" i="1"/>
  <c r="AR29" i="1"/>
  <c r="AS29" i="1"/>
  <c r="AT29" i="1"/>
  <c r="O37" i="1"/>
  <c r="P37" i="1"/>
  <c r="R33" i="1" s="1"/>
  <c r="Q37" i="1"/>
  <c r="AF8" i="1" l="1"/>
  <c r="AJ8" i="1" s="1"/>
  <c r="I8" i="1"/>
  <c r="R9" i="1"/>
  <c r="AF26" i="1"/>
  <c r="AJ26" i="1" s="1"/>
  <c r="E26" i="1"/>
  <c r="AE25" i="1"/>
  <c r="AI25" i="1" s="1"/>
  <c r="V9" i="1"/>
  <c r="I9" i="1"/>
  <c r="AF22" i="1"/>
  <c r="AJ22" i="1" s="1"/>
  <c r="E22" i="1"/>
  <c r="AE19" i="1"/>
  <c r="AG19" i="1" s="1"/>
  <c r="AD17" i="1"/>
  <c r="I16" i="1"/>
  <c r="L37" i="1"/>
  <c r="AD18" i="1"/>
  <c r="J37" i="1"/>
  <c r="S29" i="1"/>
  <c r="Z13" i="1"/>
  <c r="I13" i="1"/>
  <c r="O29" i="1"/>
  <c r="O39" i="1" s="1"/>
  <c r="M13" i="1"/>
  <c r="AD13" i="1"/>
  <c r="AJ23" i="1"/>
  <c r="I18" i="1"/>
  <c r="M8" i="1"/>
  <c r="AE9" i="1"/>
  <c r="AI9" i="1" s="1"/>
  <c r="I26" i="1"/>
  <c r="R13" i="1"/>
  <c r="AF13" i="1"/>
  <c r="AJ13" i="1" s="1"/>
  <c r="O36" i="1"/>
  <c r="O38" i="1" s="1"/>
  <c r="P29" i="1"/>
  <c r="P39" i="1" s="1"/>
  <c r="AE26" i="1"/>
  <c r="AG26" i="1" s="1"/>
  <c r="E23" i="1"/>
  <c r="M18" i="1"/>
  <c r="AF16" i="1"/>
  <c r="V13" i="1"/>
  <c r="AE18" i="1"/>
  <c r="AI18" i="1" s="1"/>
  <c r="I21" i="1"/>
  <c r="AE21" i="1"/>
  <c r="AI21" i="1" s="1"/>
  <c r="AF18" i="1"/>
  <c r="AJ18" i="1" s="1"/>
  <c r="T29" i="1"/>
  <c r="E21" i="1"/>
  <c r="E17" i="1"/>
  <c r="Z17" i="1"/>
  <c r="AF17" i="1"/>
  <c r="AJ17" i="1" s="1"/>
  <c r="M20" i="1"/>
  <c r="E20" i="1"/>
  <c r="AD20" i="1"/>
  <c r="I32" i="1"/>
  <c r="E10" i="1"/>
  <c r="M10" i="1"/>
  <c r="AF10" i="1"/>
  <c r="AJ10" i="1" s="1"/>
  <c r="I24" i="1"/>
  <c r="AF24" i="1"/>
  <c r="AJ24" i="1" s="1"/>
  <c r="M7" i="1"/>
  <c r="AE7" i="1"/>
  <c r="AI7" i="1" s="1"/>
  <c r="E7" i="1"/>
  <c r="I7" i="1"/>
  <c r="Z11" i="1"/>
  <c r="I11" i="1"/>
  <c r="AF11" i="1"/>
  <c r="AJ11" i="1" s="1"/>
  <c r="AF21" i="1"/>
  <c r="E24" i="1"/>
  <c r="AE23" i="1"/>
  <c r="AG23" i="1" s="1"/>
  <c r="AE22" i="1"/>
  <c r="AA29" i="1"/>
  <c r="E18" i="1"/>
  <c r="I17" i="1"/>
  <c r="M11" i="1"/>
  <c r="I10" i="1"/>
  <c r="M9" i="1"/>
  <c r="AE8" i="1"/>
  <c r="AG8" i="1" s="1"/>
  <c r="E8" i="1"/>
  <c r="AF7" i="1"/>
  <c r="AJ7" i="1" s="1"/>
  <c r="AE13" i="1"/>
  <c r="AI13" i="1" s="1"/>
  <c r="P36" i="1"/>
  <c r="AF25" i="1"/>
  <c r="AJ25" i="1" s="1"/>
  <c r="E19" i="1"/>
  <c r="AE16" i="1"/>
  <c r="AI16" i="1" s="1"/>
  <c r="E13" i="1"/>
  <c r="Q29" i="1"/>
  <c r="Q39" i="1" s="1"/>
  <c r="AI26" i="1"/>
  <c r="Z24" i="1"/>
  <c r="AF20" i="1"/>
  <c r="AJ20" i="1" s="1"/>
  <c r="I19" i="1"/>
  <c r="AJ16" i="1"/>
  <c r="AE11" i="1"/>
  <c r="AI11" i="1" s="1"/>
  <c r="AE10" i="1"/>
  <c r="Z10" i="1"/>
  <c r="U29" i="1"/>
  <c r="E9" i="1"/>
  <c r="AB29" i="1"/>
  <c r="AD32" i="1" s="1"/>
  <c r="AE24" i="1"/>
  <c r="AE17" i="1"/>
  <c r="K37" i="1"/>
  <c r="M33" i="1" s="1"/>
  <c r="I23" i="1"/>
  <c r="AE20" i="1"/>
  <c r="V16" i="1"/>
  <c r="E11" i="1"/>
  <c r="AH29" i="1"/>
  <c r="AF9" i="1"/>
  <c r="AJ9" i="1" s="1"/>
  <c r="C12" i="1"/>
  <c r="H12" i="1"/>
  <c r="D12" i="1"/>
  <c r="G12" i="1"/>
  <c r="AG10" i="1" l="1"/>
  <c r="AI8" i="1"/>
  <c r="AI23" i="1"/>
  <c r="AI19" i="1"/>
  <c r="AG18" i="1"/>
  <c r="AG13" i="1"/>
  <c r="V32" i="1"/>
  <c r="AG16" i="1"/>
  <c r="AI10" i="1"/>
  <c r="AG7" i="1"/>
  <c r="AG11" i="1"/>
  <c r="AG22" i="1"/>
  <c r="AI22" i="1"/>
  <c r="AG25" i="1"/>
  <c r="R32" i="1"/>
  <c r="P38" i="1"/>
  <c r="AG21" i="1"/>
  <c r="AJ21" i="1"/>
  <c r="AG17" i="1"/>
  <c r="AI17" i="1"/>
  <c r="AI20" i="1"/>
  <c r="AG20" i="1"/>
  <c r="AG24" i="1"/>
  <c r="AI24" i="1"/>
  <c r="AG9" i="1"/>
  <c r="E12" i="1"/>
  <c r="AE12" i="1"/>
  <c r="B12" i="1"/>
  <c r="AF12" i="1"/>
  <c r="I12" i="1"/>
  <c r="F12" i="1"/>
  <c r="AJ12" i="1" l="1"/>
  <c r="AI12" i="1"/>
  <c r="AG12" i="1"/>
  <c r="W14" i="1" l="1"/>
  <c r="W29" i="1" s="1"/>
  <c r="X14" i="1"/>
  <c r="K14" i="1"/>
  <c r="K36" i="1" l="1"/>
  <c r="K29" i="1"/>
  <c r="K39" i="1" s="1"/>
  <c r="X29" i="1"/>
  <c r="Y14" i="1"/>
  <c r="Y29" i="1" s="1"/>
  <c r="F14" i="1"/>
  <c r="F29" i="1" s="1"/>
  <c r="G14" i="1"/>
  <c r="Z14" i="1" l="1"/>
  <c r="G29" i="1"/>
  <c r="K38" i="1"/>
  <c r="Z32" i="1"/>
  <c r="J14" i="1"/>
  <c r="J36" i="1" l="1"/>
  <c r="J38" i="1" s="1"/>
  <c r="J29" i="1"/>
  <c r="J39" i="1" s="1"/>
  <c r="C14" i="1" l="1"/>
  <c r="AE14" i="1" l="1"/>
  <c r="C29" i="1"/>
  <c r="B14" i="1"/>
  <c r="B29" i="1" s="1"/>
  <c r="AI14" i="1" l="1"/>
  <c r="AE29" i="1"/>
  <c r="AI29" i="1" l="1"/>
  <c r="L14" i="1" l="1"/>
  <c r="L29" i="1" l="1"/>
  <c r="L39" i="1" s="1"/>
  <c r="L36" i="1"/>
  <c r="M14" i="1"/>
  <c r="H14" i="1"/>
  <c r="H29" i="1" l="1"/>
  <c r="I33" i="1" s="1"/>
  <c r="I14" i="1"/>
  <c r="L38" i="1"/>
  <c r="M32" i="1"/>
  <c r="D14" i="1" l="1"/>
  <c r="AF14" i="1" l="1"/>
  <c r="D29" i="1"/>
  <c r="E32" i="1" s="1"/>
  <c r="E14" i="1"/>
  <c r="AJ14" i="1" l="1"/>
  <c r="AF29" i="1"/>
  <c r="AG14" i="1"/>
  <c r="AJ29" i="1" l="1"/>
  <c r="AK14" i="1" s="1"/>
  <c r="AG29" i="1"/>
  <c r="AK25" i="1" l="1"/>
  <c r="AK21" i="1"/>
  <c r="AK19" i="1"/>
  <c r="AK13" i="1"/>
  <c r="AK16" i="1"/>
  <c r="AK26" i="1"/>
  <c r="AK23" i="1"/>
  <c r="AK7" i="1"/>
  <c r="AK24" i="1"/>
  <c r="AK9" i="1"/>
  <c r="AK8" i="1"/>
  <c r="AK22" i="1"/>
  <c r="AK10" i="1"/>
  <c r="AK11" i="1"/>
  <c r="AK17" i="1"/>
  <c r="AK20" i="1"/>
  <c r="AK18" i="1"/>
  <c r="AK12" i="1"/>
</calcChain>
</file>

<file path=xl/comments1.xml><?xml version="1.0" encoding="utf-8"?>
<comments xmlns="http://schemas.openxmlformats.org/spreadsheetml/2006/main">
  <authors>
    <author>Patrick Faucher</author>
    <author>Daniel Beaupré</author>
  </authors>
  <commentList>
    <comment ref="AH12" authorId="0" shapeId="0">
      <text>
        <r>
          <rPr>
            <b/>
            <sz val="9"/>
            <color indexed="81"/>
            <rFont val="Tahoma"/>
            <family val="2"/>
          </rPr>
          <t>Patrick Faucher:</t>
        </r>
        <r>
          <rPr>
            <sz val="9"/>
            <color indexed="81"/>
            <rFont val="Tahoma"/>
            <family val="2"/>
          </rPr>
          <t xml:space="preserve">
Différent du rapport Eneruniv.  Correspond à SILU</t>
        </r>
      </text>
    </comment>
    <comment ref="AH13" authorId="1" shapeId="0">
      <text>
        <r>
          <rPr>
            <b/>
            <sz val="8"/>
            <color indexed="81"/>
            <rFont val="Tahoma"/>
            <family val="2"/>
          </rPr>
          <t>Daniel Beaupré:</t>
        </r>
        <r>
          <rPr>
            <sz val="8"/>
            <color indexed="81"/>
            <rFont val="Tahoma"/>
            <family val="2"/>
          </rPr>
          <t xml:space="preserve">
La considération à 50% pour le pavillon 556 est injustifiée car elle n'est pas rajouté à l'UM+5615</t>
        </r>
      </text>
    </comment>
  </commentList>
</comments>
</file>

<file path=xl/sharedStrings.xml><?xml version="1.0" encoding="utf-8"?>
<sst xmlns="http://schemas.openxmlformats.org/spreadsheetml/2006/main" count="151" uniqueCount="77">
  <si>
    <t>ÉLECTRICITÉ incluant BI-ÉNERGIE</t>
  </si>
  <si>
    <t>GAZ NATUREL</t>
  </si>
  <si>
    <t>MAZOUT #2</t>
  </si>
  <si>
    <t>GAZ PROPANE</t>
  </si>
  <si>
    <t>VAPEUR</t>
  </si>
  <si>
    <t>DIVERS</t>
  </si>
  <si>
    <t>GRAND TOTAL DES COÛTS ET DES GIGAJOULES</t>
  </si>
  <si>
    <t>Consommation</t>
  </si>
  <si>
    <t>Coût $</t>
  </si>
  <si>
    <t>Gigajoules</t>
  </si>
  <si>
    <t>Coût</t>
  </si>
  <si>
    <t>AXE</t>
  </si>
  <si>
    <t>Coût / mètre</t>
  </si>
  <si>
    <t>Indice comparatif</t>
  </si>
  <si>
    <t>Superficie</t>
  </si>
  <si>
    <t>unitaire</t>
  </si>
  <si>
    <t>d'un gigajoule</t>
  </si>
  <si>
    <t>Brute Énergie</t>
  </si>
  <si>
    <t>carré</t>
  </si>
  <si>
    <t>par rapport à la</t>
  </si>
  <si>
    <t>KWH</t>
  </si>
  <si>
    <t>(Mètres cubes)</t>
  </si>
  <si>
    <t>(Litres)</t>
  </si>
  <si>
    <t>(Livres)</t>
  </si>
  <si>
    <t>$</t>
  </si>
  <si>
    <t>(m. c.)</t>
  </si>
  <si>
    <t>GJ / mètre carré</t>
  </si>
  <si>
    <t>moyenne réseau</t>
  </si>
  <si>
    <t>O</t>
  </si>
  <si>
    <t>Coût moyen du réseau = Coût / Gigajoules</t>
  </si>
  <si>
    <t>Gaz nord</t>
  </si>
  <si>
    <t>Mazout #2 axe</t>
  </si>
  <si>
    <t>Gaz sud</t>
  </si>
  <si>
    <t>Mazout #2 hors axe</t>
  </si>
  <si>
    <t>Université Concordia</t>
  </si>
  <si>
    <t>Université Laval</t>
  </si>
  <si>
    <t>Université McGill</t>
  </si>
  <si>
    <t>Université de Montréal</t>
  </si>
  <si>
    <t>École Polytechnique de Montréal</t>
  </si>
  <si>
    <t>Université de Sherbrooke</t>
  </si>
  <si>
    <t>Université du Québec</t>
  </si>
  <si>
    <t>Université du Québec en Abitibi-Témiscamingue</t>
  </si>
  <si>
    <t>Université du Québec à Chicoutimi</t>
  </si>
  <si>
    <t>Université du Québec à Montréal</t>
  </si>
  <si>
    <t>Université du Québec à Rimouski</t>
  </si>
  <si>
    <t>Université du Québec à Trois-Rivières</t>
  </si>
  <si>
    <t>École de technologie supérieure</t>
  </si>
  <si>
    <t>Siège social</t>
  </si>
  <si>
    <t>Établissement</t>
  </si>
  <si>
    <t>TOTAL</t>
  </si>
  <si>
    <t>Vapeur</t>
  </si>
  <si>
    <t>Divers</t>
  </si>
  <si>
    <t>Mazout #5 axe</t>
  </si>
  <si>
    <t>Mazout #5 hors axe</t>
  </si>
  <si>
    <t>MAZOUT #5 ou #6</t>
  </si>
  <si>
    <t>Électricité</t>
  </si>
  <si>
    <t>Gaz</t>
  </si>
  <si>
    <t>naturel</t>
  </si>
  <si>
    <t>Mazout</t>
  </si>
  <si>
    <t>léger</t>
  </si>
  <si>
    <t>#2</t>
  </si>
  <si>
    <t>lourd</t>
  </si>
  <si>
    <t>#6</t>
  </si>
  <si>
    <t>#5</t>
  </si>
  <si>
    <t>propane</t>
  </si>
  <si>
    <t>Coût unitaire</t>
  </si>
  <si>
    <t>/GJ</t>
  </si>
  <si>
    <t>NOMBRE DE BÂTIMENTS</t>
  </si>
  <si>
    <t>Université du Québec en Outaouais</t>
  </si>
  <si>
    <t>Université Bishop's</t>
  </si>
  <si>
    <t>École des hautes études commerciales de Montréal</t>
  </si>
  <si>
    <t>Institut national de la recherche scientifique</t>
  </si>
  <si>
    <t>École nationale d'administration publique</t>
  </si>
  <si>
    <t>Télé-université</t>
  </si>
  <si>
    <t>Moyenne réseau</t>
  </si>
  <si>
    <t xml:space="preserve"> </t>
  </si>
  <si>
    <t>Surface en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</si>
</sst>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&quot; $&quot;;\-#,##0&quot; $&quot;"/>
    <numFmt numFmtId="165" formatCode="#,##0.00&quot; $&quot;;\-#,##0.00&quot; $&quot;"/>
    <numFmt numFmtId="166" formatCode="#,##0.00&quot; $&quot;;[Red]\-#,##0.00&quot; $&quot;"/>
    <numFmt numFmtId="167" formatCode="#,##0;\(#,##0\);&quot;  -     &quot;"/>
    <numFmt numFmtId="168" formatCode="#,##0.00&quot; $&quot;;\(#,##0.00&quot; $&quot;\);&quot;  -           &quot;"/>
    <numFmt numFmtId="169" formatCode="#,##0.0&quot; &quot;;\(#,##0.0\)"/>
    <numFmt numFmtId="170" formatCode="#,##0.00&quot; $&quot;&quot; /m. c.&quot;;\(#,##0.00&quot; $&quot;\)&quot;/m. c.&quot;;&quot;  -           &quot;"/>
    <numFmt numFmtId="171" formatCode="#,##0.00&quot; GJ/m. c.&quot;;\(#,##0.00,\)&quot;GJ/m. c.&quot;;&quot;  -           &quot;"/>
    <numFmt numFmtId="172" formatCode="#,##0.0000"/>
    <numFmt numFmtId="173" formatCode="#,##0.00&quot; $&quot;;\(#,##0.00&quot; $&quot;\);&quot;  -     &quot;"/>
    <numFmt numFmtId="174" formatCode="#,##0&quot; &quot;;\(#,##0\);&quot;  -      &quot;"/>
    <numFmt numFmtId="175" formatCode="#,##0.00&quot; $ &quot;;\(#,##0.00&quot; $ &quot;\);&quot;  -            &quot;"/>
    <numFmt numFmtId="176" formatCode="#,##0&quot; &quot;;\(#,##0\)"/>
    <numFmt numFmtId="177" formatCode="#,##0&quot; $&quot;;\(#,##0&quot; $&quot;\);&quot;  -           &quot;"/>
  </numFmts>
  <fonts count="18">
    <font>
      <sz val="10"/>
      <name val="Geneva"/>
    </font>
    <font>
      <sz val="10"/>
      <name val="Geneva"/>
    </font>
    <font>
      <b/>
      <sz val="10"/>
      <name val="N Helvetica Narrow"/>
    </font>
    <font>
      <sz val="10"/>
      <name val="N Helvetica Narrow"/>
    </font>
    <font>
      <b/>
      <sz val="12"/>
      <name val="N Helvetica Narrow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/>
    <xf numFmtId="3" fontId="3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/>
    <xf numFmtId="0" fontId="2" fillId="0" borderId="5" xfId="0" applyFont="1" applyBorder="1"/>
    <xf numFmtId="0" fontId="2" fillId="0" borderId="0" xfId="0" applyFont="1" applyBorder="1"/>
    <xf numFmtId="0" fontId="0" fillId="0" borderId="0" xfId="0" applyBorder="1"/>
    <xf numFmtId="165" fontId="2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4" fillId="0" borderId="5" xfId="0" applyFont="1" applyBorder="1"/>
    <xf numFmtId="165" fontId="2" fillId="0" borderId="3" xfId="0" applyNumberFormat="1" applyFont="1" applyBorder="1" applyAlignment="1">
      <alignment horizontal="right"/>
    </xf>
    <xf numFmtId="0" fontId="0" fillId="0" borderId="5" xfId="0" applyBorder="1"/>
    <xf numFmtId="0" fontId="6" fillId="0" borderId="0" xfId="0" applyFont="1"/>
    <xf numFmtId="0" fontId="6" fillId="0" borderId="7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7" fontId="6" fillId="0" borderId="5" xfId="0" applyNumberFormat="1" applyFont="1" applyBorder="1"/>
    <xf numFmtId="167" fontId="6" fillId="0" borderId="0" xfId="0" applyNumberFormat="1" applyFont="1" applyBorder="1"/>
    <xf numFmtId="167" fontId="6" fillId="0" borderId="6" xfId="0" applyNumberFormat="1" applyFont="1" applyBorder="1"/>
    <xf numFmtId="0" fontId="6" fillId="0" borderId="3" xfId="0" applyFont="1" applyBorder="1" applyAlignment="1">
      <alignment horizontal="center"/>
    </xf>
    <xf numFmtId="168" fontId="6" fillId="0" borderId="0" xfId="0" applyNumberFormat="1" applyFont="1" applyBorder="1"/>
    <xf numFmtId="0" fontId="6" fillId="0" borderId="7" xfId="0" applyFont="1" applyBorder="1" applyAlignment="1">
      <alignment horizontal="center"/>
    </xf>
    <xf numFmtId="3" fontId="5" fillId="0" borderId="3" xfId="0" applyNumberFormat="1" applyFont="1" applyBorder="1"/>
    <xf numFmtId="3" fontId="5" fillId="0" borderId="3" xfId="0" applyNumberFormat="1" applyFont="1" applyBorder="1" applyAlignment="1">
      <alignment horizontal="center"/>
    </xf>
    <xf numFmtId="170" fontId="5" fillId="0" borderId="3" xfId="0" applyNumberFormat="1" applyFont="1" applyBorder="1"/>
    <xf numFmtId="171" fontId="5" fillId="0" borderId="3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0" xfId="0" applyFont="1" applyBorder="1"/>
    <xf numFmtId="167" fontId="7" fillId="0" borderId="5" xfId="0" applyNumberFormat="1" applyFont="1" applyBorder="1"/>
    <xf numFmtId="167" fontId="7" fillId="0" borderId="0" xfId="0" applyNumberFormat="1" applyFont="1" applyBorder="1"/>
    <xf numFmtId="3" fontId="7" fillId="0" borderId="3" xfId="0" applyNumberFormat="1" applyFont="1" applyBorder="1" applyAlignment="1">
      <alignment horizontal="center"/>
    </xf>
    <xf numFmtId="168" fontId="7" fillId="0" borderId="0" xfId="0" applyNumberFormat="1" applyFont="1" applyBorder="1"/>
    <xf numFmtId="167" fontId="7" fillId="0" borderId="6" xfId="0" applyNumberFormat="1" applyFont="1" applyBorder="1"/>
    <xf numFmtId="174" fontId="11" fillId="0" borderId="5" xfId="0" applyNumberFormat="1" applyFont="1" applyBorder="1"/>
    <xf numFmtId="175" fontId="11" fillId="0" borderId="0" xfId="0" applyNumberFormat="1" applyFont="1" applyBorder="1"/>
    <xf numFmtId="174" fontId="11" fillId="0" borderId="6" xfId="0" applyNumberFormat="1" applyFont="1" applyBorder="1"/>
    <xf numFmtId="175" fontId="5" fillId="0" borderId="3" xfId="0" applyNumberFormat="1" applyFont="1" applyBorder="1"/>
    <xf numFmtId="174" fontId="5" fillId="0" borderId="3" xfId="0" applyNumberFormat="1" applyFont="1" applyBorder="1"/>
    <xf numFmtId="174" fontId="3" fillId="0" borderId="0" xfId="0" applyNumberFormat="1" applyFont="1"/>
    <xf numFmtId="174" fontId="4" fillId="0" borderId="0" xfId="0" applyNumberFormat="1" applyFont="1" applyAlignment="1">
      <alignment horizontal="right"/>
    </xf>
    <xf numFmtId="173" fontId="7" fillId="0" borderId="3" xfId="0" applyNumberFormat="1" applyFont="1" applyBorder="1" applyAlignment="1"/>
    <xf numFmtId="173" fontId="12" fillId="0" borderId="3" xfId="0" applyNumberFormat="1" applyFont="1" applyBorder="1" applyAlignment="1"/>
    <xf numFmtId="174" fontId="5" fillId="0" borderId="12" xfId="0" applyNumberFormat="1" applyFont="1" applyBorder="1"/>
    <xf numFmtId="175" fontId="5" fillId="0" borderId="13" xfId="0" applyNumberFormat="1" applyFont="1" applyBorder="1"/>
    <xf numFmtId="174" fontId="5" fillId="0" borderId="14" xfId="0" applyNumberFormat="1" applyFont="1" applyBorder="1"/>
    <xf numFmtId="0" fontId="6" fillId="0" borderId="5" xfId="0" applyFont="1" applyBorder="1"/>
    <xf numFmtId="3" fontId="5" fillId="0" borderId="5" xfId="0" applyNumberFormat="1" applyFont="1" applyBorder="1"/>
    <xf numFmtId="0" fontId="3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9" fontId="3" fillId="0" borderId="3" xfId="0" applyNumberFormat="1" applyFont="1" applyBorder="1"/>
    <xf numFmtId="0" fontId="6" fillId="0" borderId="15" xfId="0" applyFont="1" applyBorder="1"/>
    <xf numFmtId="175" fontId="5" fillId="0" borderId="16" xfId="0" applyNumberFormat="1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Continuous"/>
    </xf>
    <xf numFmtId="0" fontId="6" fillId="0" borderId="20" xfId="0" applyFont="1" applyBorder="1"/>
    <xf numFmtId="0" fontId="13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10" fillId="0" borderId="20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4" xfId="0" applyFont="1" applyBorder="1" applyAlignment="1">
      <alignment horizontal="center"/>
    </xf>
    <xf numFmtId="0" fontId="6" fillId="0" borderId="26" xfId="0" applyFont="1" applyBorder="1"/>
    <xf numFmtId="0" fontId="7" fillId="0" borderId="11" xfId="0" applyFont="1" applyBorder="1"/>
    <xf numFmtId="0" fontId="7" fillId="0" borderId="8" xfId="0" applyFont="1" applyBorder="1"/>
    <xf numFmtId="173" fontId="7" fillId="0" borderId="8" xfId="0" applyNumberFormat="1" applyFont="1" applyBorder="1" applyAlignment="1"/>
    <xf numFmtId="169" fontId="7" fillId="0" borderId="8" xfId="0" applyNumberFormat="1" applyFont="1" applyBorder="1"/>
    <xf numFmtId="170" fontId="7" fillId="0" borderId="8" xfId="0" applyNumberFormat="1" applyFont="1" applyBorder="1"/>
    <xf numFmtId="171" fontId="7" fillId="0" borderId="8" xfId="0" applyNumberFormat="1" applyFont="1" applyBorder="1"/>
    <xf numFmtId="0" fontId="6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28" xfId="0" applyFont="1" applyBorder="1"/>
    <xf numFmtId="172" fontId="7" fillId="0" borderId="30" xfId="0" applyNumberFormat="1" applyFont="1" applyBorder="1" applyAlignment="1">
      <alignment horizontal="center"/>
    </xf>
    <xf numFmtId="0" fontId="6" fillId="0" borderId="29" xfId="0" applyFont="1" applyBorder="1"/>
    <xf numFmtId="3" fontId="5" fillId="0" borderId="29" xfId="0" applyNumberFormat="1" applyFont="1" applyBorder="1"/>
    <xf numFmtId="0" fontId="6" fillId="0" borderId="31" xfId="0" applyFont="1" applyBorder="1"/>
    <xf numFmtId="0" fontId="5" fillId="0" borderId="17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4" fillId="0" borderId="35" xfId="0" applyFont="1" applyBorder="1"/>
    <xf numFmtId="0" fontId="2" fillId="0" borderId="32" xfId="0" applyFont="1" applyBorder="1"/>
    <xf numFmtId="0" fontId="4" fillId="0" borderId="33" xfId="0" applyFont="1" applyBorder="1" applyAlignment="1">
      <alignment horizontal="right"/>
    </xf>
    <xf numFmtId="174" fontId="4" fillId="0" borderId="33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8" xfId="0" applyFont="1" applyBorder="1"/>
    <xf numFmtId="0" fontId="6" fillId="0" borderId="36" xfId="0" applyFont="1" applyFill="1" applyBorder="1"/>
    <xf numFmtId="167" fontId="7" fillId="0" borderId="0" xfId="0" applyNumberFormat="1" applyFont="1" applyFill="1" applyBorder="1"/>
    <xf numFmtId="165" fontId="8" fillId="0" borderId="6" xfId="0" applyNumberFormat="1" applyFont="1" applyFill="1" applyBorder="1"/>
    <xf numFmtId="167" fontId="7" fillId="0" borderId="5" xfId="0" applyNumberFormat="1" applyFont="1" applyFill="1" applyBorder="1"/>
    <xf numFmtId="168" fontId="7" fillId="0" borderId="0" xfId="0" applyNumberFormat="1" applyFont="1" applyFill="1" applyBorder="1"/>
    <xf numFmtId="165" fontId="8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center"/>
    </xf>
    <xf numFmtId="167" fontId="7" fillId="0" borderId="3" xfId="0" applyNumberFormat="1" applyFont="1" applyFill="1" applyBorder="1"/>
    <xf numFmtId="173" fontId="7" fillId="0" borderId="3" xfId="0" applyNumberFormat="1" applyFont="1" applyFill="1" applyBorder="1" applyAlignment="1"/>
    <xf numFmtId="170" fontId="7" fillId="0" borderId="3" xfId="0" applyNumberFormat="1" applyFont="1" applyFill="1" applyBorder="1"/>
    <xf numFmtId="171" fontId="7" fillId="0" borderId="3" xfId="0" applyNumberFormat="1" applyFont="1" applyFill="1" applyBorder="1"/>
    <xf numFmtId="172" fontId="7" fillId="0" borderId="29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2" borderId="37" xfId="0" applyFont="1" applyFill="1" applyBorder="1" applyAlignment="1">
      <alignment horizontal="centerContinuous"/>
    </xf>
    <xf numFmtId="0" fontId="3" fillId="2" borderId="38" xfId="0" applyFont="1" applyFill="1" applyBorder="1" applyAlignment="1">
      <alignment horizontal="centerContinuous"/>
    </xf>
    <xf numFmtId="0" fontId="3" fillId="2" borderId="39" xfId="0" applyFont="1" applyFill="1" applyBorder="1" applyAlignment="1">
      <alignment horizontal="centerContinuous"/>
    </xf>
    <xf numFmtId="0" fontId="12" fillId="2" borderId="15" xfId="0" applyFont="1" applyFill="1" applyBorder="1" applyAlignment="1" applyProtection="1">
      <alignment horizontal="centerContinuous"/>
    </xf>
    <xf numFmtId="0" fontId="12" fillId="2" borderId="18" xfId="0" applyFont="1" applyFill="1" applyBorder="1" applyAlignment="1" applyProtection="1">
      <alignment horizontal="centerContinuous"/>
    </xf>
    <xf numFmtId="0" fontId="12" fillId="2" borderId="40" xfId="0" applyFont="1" applyFill="1" applyBorder="1" applyAlignment="1" applyProtection="1">
      <alignment horizontal="centerContinuous"/>
    </xf>
    <xf numFmtId="0" fontId="12" fillId="2" borderId="20" xfId="0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29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3" xfId="0" applyFont="1" applyFill="1" applyBorder="1"/>
    <xf numFmtId="0" fontId="3" fillId="2" borderId="29" xfId="0" applyFont="1" applyFill="1" applyBorder="1"/>
    <xf numFmtId="0" fontId="3" fillId="2" borderId="21" xfId="0" applyFont="1" applyFill="1" applyBorder="1"/>
    <xf numFmtId="0" fontId="3" fillId="2" borderId="8" xfId="0" applyFont="1" applyFill="1" applyBorder="1"/>
    <xf numFmtId="0" fontId="3" fillId="2" borderId="30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31" xfId="0" applyFont="1" applyFill="1" applyBorder="1"/>
    <xf numFmtId="176" fontId="7" fillId="0" borderId="3" xfId="0" applyNumberFormat="1" applyFont="1" applyFill="1" applyBorder="1"/>
    <xf numFmtId="177" fontId="7" fillId="0" borderId="10" xfId="0" applyNumberFormat="1" applyFont="1" applyFill="1" applyBorder="1"/>
    <xf numFmtId="164" fontId="5" fillId="0" borderId="10" xfId="0" applyNumberFormat="1" applyFont="1" applyBorder="1"/>
    <xf numFmtId="176" fontId="5" fillId="0" borderId="3" xfId="0" applyNumberFormat="1" applyFont="1" applyBorder="1"/>
    <xf numFmtId="0" fontId="6" fillId="0" borderId="41" xfId="0" applyFont="1" applyBorder="1"/>
    <xf numFmtId="0" fontId="6" fillId="0" borderId="42" xfId="0" applyFont="1" applyBorder="1"/>
    <xf numFmtId="167" fontId="6" fillId="0" borderId="1" xfId="0" applyNumberFormat="1" applyFont="1" applyBorder="1"/>
    <xf numFmtId="167" fontId="7" fillId="0" borderId="32" xfId="0" applyNumberFormat="1" applyFont="1" applyBorder="1"/>
    <xf numFmtId="166" fontId="7" fillId="0" borderId="0" xfId="1" applyFont="1" applyFill="1" applyBorder="1"/>
    <xf numFmtId="177" fontId="7" fillId="0" borderId="0" xfId="0" applyNumberFormat="1" applyFont="1" applyFill="1" applyBorder="1"/>
    <xf numFmtId="0" fontId="6" fillId="0" borderId="36" xfId="0" applyFont="1" applyFill="1" applyBorder="1" applyAlignment="1">
      <alignment horizontal="left" indent="1"/>
    </xf>
    <xf numFmtId="0" fontId="6" fillId="3" borderId="36" xfId="0" applyFont="1" applyFill="1" applyBorder="1"/>
    <xf numFmtId="167" fontId="7" fillId="3" borderId="5" xfId="0" applyNumberFormat="1" applyFont="1" applyFill="1" applyBorder="1"/>
    <xf numFmtId="168" fontId="7" fillId="3" borderId="0" xfId="0" applyNumberFormat="1" applyFont="1" applyFill="1" applyBorder="1"/>
    <xf numFmtId="167" fontId="7" fillId="3" borderId="0" xfId="0" applyNumberFormat="1" applyFont="1" applyFill="1" applyBorder="1"/>
    <xf numFmtId="165" fontId="8" fillId="3" borderId="6" xfId="0" applyNumberFormat="1" applyFont="1" applyFill="1" applyBorder="1"/>
    <xf numFmtId="165" fontId="8" fillId="3" borderId="0" xfId="0" applyNumberFormat="1" applyFont="1" applyFill="1" applyBorder="1"/>
    <xf numFmtId="3" fontId="7" fillId="3" borderId="3" xfId="0" applyNumberFormat="1" applyFont="1" applyFill="1" applyBorder="1" applyAlignment="1">
      <alignment horizontal="center"/>
    </xf>
    <xf numFmtId="177" fontId="7" fillId="3" borderId="10" xfId="0" applyNumberFormat="1" applyFont="1" applyFill="1" applyBorder="1"/>
    <xf numFmtId="167" fontId="7" fillId="3" borderId="3" xfId="0" applyNumberFormat="1" applyFont="1" applyFill="1" applyBorder="1"/>
    <xf numFmtId="173" fontId="7" fillId="3" borderId="3" xfId="0" applyNumberFormat="1" applyFont="1" applyFill="1" applyBorder="1" applyAlignment="1"/>
    <xf numFmtId="176" fontId="7" fillId="3" borderId="3" xfId="0" applyNumberFormat="1" applyFont="1" applyFill="1" applyBorder="1"/>
    <xf numFmtId="170" fontId="7" fillId="3" borderId="3" xfId="0" applyNumberFormat="1" applyFont="1" applyFill="1" applyBorder="1"/>
    <xf numFmtId="171" fontId="7" fillId="3" borderId="3" xfId="0" applyNumberFormat="1" applyFont="1" applyFill="1" applyBorder="1"/>
    <xf numFmtId="172" fontId="7" fillId="3" borderId="29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3" xfId="0" applyFont="1" applyFill="1" applyBorder="1"/>
    <xf numFmtId="0" fontId="3" fillId="3" borderId="29" xfId="0" applyFont="1" applyFill="1" applyBorder="1"/>
    <xf numFmtId="0" fontId="3" fillId="3" borderId="0" xfId="0" applyFont="1" applyFill="1"/>
    <xf numFmtId="0" fontId="6" fillId="4" borderId="36" xfId="0" applyFont="1" applyFill="1" applyBorder="1"/>
    <xf numFmtId="167" fontId="7" fillId="4" borderId="5" xfId="0" applyNumberFormat="1" applyFont="1" applyFill="1" applyBorder="1"/>
    <xf numFmtId="168" fontId="7" fillId="4" borderId="0" xfId="0" applyNumberFormat="1" applyFont="1" applyFill="1" applyBorder="1"/>
    <xf numFmtId="167" fontId="7" fillId="4" borderId="0" xfId="0" applyNumberFormat="1" applyFont="1" applyFill="1" applyBorder="1"/>
    <xf numFmtId="165" fontId="8" fillId="4" borderId="6" xfId="0" applyNumberFormat="1" applyFont="1" applyFill="1" applyBorder="1"/>
    <xf numFmtId="165" fontId="8" fillId="4" borderId="0" xfId="0" applyNumberFormat="1" applyFont="1" applyFill="1" applyBorder="1"/>
    <xf numFmtId="3" fontId="7" fillId="4" borderId="3" xfId="0" applyNumberFormat="1" applyFont="1" applyFill="1" applyBorder="1" applyAlignment="1">
      <alignment horizontal="center"/>
    </xf>
    <xf numFmtId="177" fontId="7" fillId="4" borderId="10" xfId="0" applyNumberFormat="1" applyFont="1" applyFill="1" applyBorder="1"/>
    <xf numFmtId="167" fontId="7" fillId="4" borderId="3" xfId="0" applyNumberFormat="1" applyFont="1" applyFill="1" applyBorder="1"/>
    <xf numFmtId="173" fontId="7" fillId="4" borderId="3" xfId="0" applyNumberFormat="1" applyFont="1" applyFill="1" applyBorder="1" applyAlignment="1"/>
    <xf numFmtId="176" fontId="7" fillId="4" borderId="3" xfId="0" applyNumberFormat="1" applyFont="1" applyFill="1" applyBorder="1"/>
    <xf numFmtId="170" fontId="7" fillId="4" borderId="3" xfId="0" applyNumberFormat="1" applyFont="1" applyFill="1" applyBorder="1"/>
    <xf numFmtId="171" fontId="7" fillId="4" borderId="3" xfId="0" applyNumberFormat="1" applyFont="1" applyFill="1" applyBorder="1"/>
    <xf numFmtId="172" fontId="7" fillId="4" borderId="29" xfId="0" applyNumberFormat="1" applyFont="1" applyFill="1" applyBorder="1" applyAlignment="1">
      <alignment horizontal="center"/>
    </xf>
    <xf numFmtId="0" fontId="3" fillId="4" borderId="20" xfId="0" applyFont="1" applyFill="1" applyBorder="1"/>
    <xf numFmtId="0" fontId="3" fillId="4" borderId="3" xfId="0" applyFont="1" applyFill="1" applyBorder="1"/>
    <xf numFmtId="0" fontId="3" fillId="4" borderId="29" xfId="0" applyFont="1" applyFill="1" applyBorder="1"/>
    <xf numFmtId="0" fontId="3" fillId="4" borderId="0" xfId="0" applyFont="1" applyFill="1"/>
    <xf numFmtId="0" fontId="6" fillId="4" borderId="36" xfId="0" applyFont="1" applyFill="1" applyBorder="1" applyAlignment="1">
      <alignment horizontal="left" indent="1"/>
    </xf>
    <xf numFmtId="177" fontId="7" fillId="4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27</xdr:row>
      <xdr:rowOff>104775</xdr:rowOff>
    </xdr:from>
    <xdr:to>
      <xdr:col>4</xdr:col>
      <xdr:colOff>342900</xdr:colOff>
      <xdr:row>29</xdr:row>
      <xdr:rowOff>104775</xdr:rowOff>
    </xdr:to>
    <xdr:grpSp>
      <xdr:nvGrpSpPr>
        <xdr:cNvPr id="6651" name="Group 8"/>
        <xdr:cNvGrpSpPr>
          <a:grpSpLocks/>
        </xdr:cNvGrpSpPr>
      </xdr:nvGrpSpPr>
      <xdr:grpSpPr bwMode="auto">
        <a:xfrm>
          <a:off x="5505450" y="4486275"/>
          <a:ext cx="219075" cy="333375"/>
          <a:chOff x="-46" y="-53800500"/>
          <a:chExt cx="23" cy="18000"/>
        </a:xfrm>
      </xdr:grpSpPr>
      <xdr:sp macro="" textlink="">
        <xdr:nvSpPr>
          <xdr:cNvPr id="6670" name="Line 9"/>
          <xdr:cNvSpPr>
            <a:spLocks noChangeShapeType="1"/>
          </xdr:cNvSpPr>
        </xdr:nvSpPr>
        <xdr:spPr bwMode="auto">
          <a:xfrm>
            <a:off x="-46" y="-53800500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1" name="Line 10"/>
          <xdr:cNvSpPr>
            <a:spLocks noChangeShapeType="1"/>
          </xdr:cNvSpPr>
        </xdr:nvSpPr>
        <xdr:spPr bwMode="auto">
          <a:xfrm>
            <a:off x="-23" y="-53800500"/>
            <a:ext cx="0" cy="18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133350</xdr:colOff>
      <xdr:row>27</xdr:row>
      <xdr:rowOff>123825</xdr:rowOff>
    </xdr:from>
    <xdr:to>
      <xdr:col>8</xdr:col>
      <xdr:colOff>352425</xdr:colOff>
      <xdr:row>29</xdr:row>
      <xdr:rowOff>123825</xdr:rowOff>
    </xdr:to>
    <xdr:grpSp>
      <xdr:nvGrpSpPr>
        <xdr:cNvPr id="6652" name="Group 17"/>
        <xdr:cNvGrpSpPr>
          <a:grpSpLocks/>
        </xdr:cNvGrpSpPr>
      </xdr:nvGrpSpPr>
      <xdr:grpSpPr bwMode="auto">
        <a:xfrm>
          <a:off x="8772525" y="4505325"/>
          <a:ext cx="219075" cy="333375"/>
          <a:chOff x="-64" y="-1067422"/>
          <a:chExt cx="23" cy="385"/>
        </a:xfrm>
      </xdr:grpSpPr>
      <xdr:sp macro="" textlink="">
        <xdr:nvSpPr>
          <xdr:cNvPr id="6668" name="Line 18"/>
          <xdr:cNvSpPr>
            <a:spLocks noChangeShapeType="1"/>
          </xdr:cNvSpPr>
        </xdr:nvSpPr>
        <xdr:spPr bwMode="auto">
          <a:xfrm>
            <a:off x="-64" y="-1067422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9" name="Line 19"/>
          <xdr:cNvSpPr>
            <a:spLocks noChangeShapeType="1"/>
          </xdr:cNvSpPr>
        </xdr:nvSpPr>
        <xdr:spPr bwMode="auto">
          <a:xfrm>
            <a:off x="-41" y="-1067422"/>
            <a:ext cx="0" cy="3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27</xdr:row>
      <xdr:rowOff>133350</xdr:rowOff>
    </xdr:from>
    <xdr:to>
      <xdr:col>12</xdr:col>
      <xdr:colOff>466725</xdr:colOff>
      <xdr:row>29</xdr:row>
      <xdr:rowOff>133350</xdr:rowOff>
    </xdr:to>
    <xdr:grpSp>
      <xdr:nvGrpSpPr>
        <xdr:cNvPr id="6653" name="Group 26"/>
        <xdr:cNvGrpSpPr>
          <a:grpSpLocks/>
        </xdr:cNvGrpSpPr>
      </xdr:nvGrpSpPr>
      <xdr:grpSpPr bwMode="auto">
        <a:xfrm>
          <a:off x="12068175" y="4514850"/>
          <a:ext cx="219075" cy="333375"/>
          <a:chOff x="-67" y="-53800500"/>
          <a:chExt cx="23" cy="18000"/>
        </a:xfrm>
      </xdr:grpSpPr>
      <xdr:sp macro="" textlink="">
        <xdr:nvSpPr>
          <xdr:cNvPr id="6666" name="Line 27"/>
          <xdr:cNvSpPr>
            <a:spLocks noChangeShapeType="1"/>
          </xdr:cNvSpPr>
        </xdr:nvSpPr>
        <xdr:spPr bwMode="auto">
          <a:xfrm>
            <a:off x="-67" y="-53800500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7" name="Line 28"/>
          <xdr:cNvSpPr>
            <a:spLocks noChangeShapeType="1"/>
          </xdr:cNvSpPr>
        </xdr:nvSpPr>
        <xdr:spPr bwMode="auto">
          <a:xfrm>
            <a:off x="-44" y="-53800500"/>
            <a:ext cx="0" cy="18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228600</xdr:colOff>
      <xdr:row>27</xdr:row>
      <xdr:rowOff>142875</xdr:rowOff>
    </xdr:from>
    <xdr:to>
      <xdr:col>21</xdr:col>
      <xdr:colOff>447675</xdr:colOff>
      <xdr:row>29</xdr:row>
      <xdr:rowOff>142875</xdr:rowOff>
    </xdr:to>
    <xdr:grpSp>
      <xdr:nvGrpSpPr>
        <xdr:cNvPr id="6654" name="Group 44"/>
        <xdr:cNvGrpSpPr>
          <a:grpSpLocks/>
        </xdr:cNvGrpSpPr>
      </xdr:nvGrpSpPr>
      <xdr:grpSpPr bwMode="auto">
        <a:xfrm>
          <a:off x="18726150" y="4524375"/>
          <a:ext cx="219075" cy="333375"/>
          <a:chOff x="-68" y="-53800500"/>
          <a:chExt cx="23" cy="18000"/>
        </a:xfrm>
      </xdr:grpSpPr>
      <xdr:sp macro="" textlink="">
        <xdr:nvSpPr>
          <xdr:cNvPr id="6664" name="Line 45"/>
          <xdr:cNvSpPr>
            <a:spLocks noChangeShapeType="1"/>
          </xdr:cNvSpPr>
        </xdr:nvSpPr>
        <xdr:spPr bwMode="auto">
          <a:xfrm>
            <a:off x="-68" y="-53800500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5" name="Line 46"/>
          <xdr:cNvSpPr>
            <a:spLocks noChangeShapeType="1"/>
          </xdr:cNvSpPr>
        </xdr:nvSpPr>
        <xdr:spPr bwMode="auto">
          <a:xfrm>
            <a:off x="-45" y="-53800500"/>
            <a:ext cx="0" cy="18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200025</xdr:colOff>
      <xdr:row>27</xdr:row>
      <xdr:rowOff>152400</xdr:rowOff>
    </xdr:from>
    <xdr:to>
      <xdr:col>25</xdr:col>
      <xdr:colOff>419100</xdr:colOff>
      <xdr:row>29</xdr:row>
      <xdr:rowOff>152400</xdr:rowOff>
    </xdr:to>
    <xdr:grpSp>
      <xdr:nvGrpSpPr>
        <xdr:cNvPr id="6655" name="Group 53"/>
        <xdr:cNvGrpSpPr>
          <a:grpSpLocks/>
        </xdr:cNvGrpSpPr>
      </xdr:nvGrpSpPr>
      <xdr:grpSpPr bwMode="auto">
        <a:xfrm>
          <a:off x="21936075" y="4533900"/>
          <a:ext cx="219075" cy="333375"/>
          <a:chOff x="-66" y="-53800500"/>
          <a:chExt cx="23" cy="18000"/>
        </a:xfrm>
      </xdr:grpSpPr>
      <xdr:sp macro="" textlink="">
        <xdr:nvSpPr>
          <xdr:cNvPr id="6662" name="Line 54"/>
          <xdr:cNvSpPr>
            <a:spLocks noChangeShapeType="1"/>
          </xdr:cNvSpPr>
        </xdr:nvSpPr>
        <xdr:spPr bwMode="auto">
          <a:xfrm>
            <a:off x="-66" y="-53800500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3" name="Line 55"/>
          <xdr:cNvSpPr>
            <a:spLocks noChangeShapeType="1"/>
          </xdr:cNvSpPr>
        </xdr:nvSpPr>
        <xdr:spPr bwMode="auto">
          <a:xfrm>
            <a:off x="-43" y="-53800500"/>
            <a:ext cx="0" cy="18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180975</xdr:colOff>
      <xdr:row>27</xdr:row>
      <xdr:rowOff>123825</xdr:rowOff>
    </xdr:from>
    <xdr:to>
      <xdr:col>29</xdr:col>
      <xdr:colOff>400050</xdr:colOff>
      <xdr:row>29</xdr:row>
      <xdr:rowOff>123825</xdr:rowOff>
    </xdr:to>
    <xdr:grpSp>
      <xdr:nvGrpSpPr>
        <xdr:cNvPr id="6656" name="Group 62"/>
        <xdr:cNvGrpSpPr>
          <a:grpSpLocks/>
        </xdr:cNvGrpSpPr>
      </xdr:nvGrpSpPr>
      <xdr:grpSpPr bwMode="auto">
        <a:xfrm>
          <a:off x="25146000" y="4505325"/>
          <a:ext cx="219075" cy="333375"/>
          <a:chOff x="-66" y="-53800500"/>
          <a:chExt cx="23" cy="18000"/>
        </a:xfrm>
      </xdr:grpSpPr>
      <xdr:sp macro="" textlink="">
        <xdr:nvSpPr>
          <xdr:cNvPr id="6660" name="Line 63"/>
          <xdr:cNvSpPr>
            <a:spLocks noChangeShapeType="1"/>
          </xdr:cNvSpPr>
        </xdr:nvSpPr>
        <xdr:spPr bwMode="auto">
          <a:xfrm>
            <a:off x="-66" y="-53800500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1" name="Line 64"/>
          <xdr:cNvSpPr>
            <a:spLocks noChangeShapeType="1"/>
          </xdr:cNvSpPr>
        </xdr:nvSpPr>
        <xdr:spPr bwMode="auto">
          <a:xfrm>
            <a:off x="-43" y="-53800500"/>
            <a:ext cx="0" cy="18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238125</xdr:colOff>
      <xdr:row>27</xdr:row>
      <xdr:rowOff>152400</xdr:rowOff>
    </xdr:from>
    <xdr:to>
      <xdr:col>17</xdr:col>
      <xdr:colOff>457200</xdr:colOff>
      <xdr:row>29</xdr:row>
      <xdr:rowOff>152400</xdr:rowOff>
    </xdr:to>
    <xdr:grpSp>
      <xdr:nvGrpSpPr>
        <xdr:cNvPr id="6657" name="Group 98"/>
        <xdr:cNvGrpSpPr>
          <a:grpSpLocks/>
        </xdr:cNvGrpSpPr>
      </xdr:nvGrpSpPr>
      <xdr:grpSpPr bwMode="auto">
        <a:xfrm>
          <a:off x="15668625" y="4533900"/>
          <a:ext cx="219075" cy="333375"/>
          <a:chOff x="-67" y="-53800500"/>
          <a:chExt cx="23" cy="18000"/>
        </a:xfrm>
      </xdr:grpSpPr>
      <xdr:sp macro="" textlink="">
        <xdr:nvSpPr>
          <xdr:cNvPr id="6658" name="Line 99"/>
          <xdr:cNvSpPr>
            <a:spLocks noChangeShapeType="1"/>
          </xdr:cNvSpPr>
        </xdr:nvSpPr>
        <xdr:spPr bwMode="auto">
          <a:xfrm>
            <a:off x="-67" y="-53800500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9" name="Line 100"/>
          <xdr:cNvSpPr>
            <a:spLocks noChangeShapeType="1"/>
          </xdr:cNvSpPr>
        </xdr:nvSpPr>
        <xdr:spPr bwMode="auto">
          <a:xfrm>
            <a:off x="-44" y="-53800500"/>
            <a:ext cx="0" cy="18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B%2017-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QAT%2017-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QAC%2017-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QAM%2017-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QO%2017-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QAR%2017-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QTR%2017-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INRS%2017-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ENAP%2017-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ETS%2017-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TELUQ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C%2017-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QSS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L%2017-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MG%2017-18%20-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MG%2017-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M%2017-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HEC%2017-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EPM%2017-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RP\DGI\DEDIES\08-Donnees_U\12-Relev&#233;s%20&#233;nerg&#233;tiques\2017-2018_Consom_&#233;nerg&#233;tique_u\US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14759613</v>
          </cell>
          <cell r="E7">
            <v>1096373</v>
          </cell>
          <cell r="F7">
            <v>53134</v>
          </cell>
        </row>
        <row r="9">
          <cell r="D9">
            <v>891621</v>
          </cell>
          <cell r="E9">
            <v>393095</v>
          </cell>
          <cell r="F9">
            <v>33784</v>
          </cell>
        </row>
        <row r="11">
          <cell r="D11">
            <v>20355</v>
          </cell>
          <cell r="E11">
            <v>19447</v>
          </cell>
          <cell r="F11">
            <v>791</v>
          </cell>
        </row>
      </sheetData>
      <sheetData sheetId="1">
        <row r="31">
          <cell r="D31">
            <v>91628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4307404</v>
          </cell>
          <cell r="E7">
            <v>393445</v>
          </cell>
          <cell r="F7">
            <v>15507</v>
          </cell>
        </row>
        <row r="9">
          <cell r="D9">
            <v>257765</v>
          </cell>
          <cell r="E9">
            <v>129575</v>
          </cell>
          <cell r="F9">
            <v>9766</v>
          </cell>
        </row>
        <row r="17">
          <cell r="D17">
            <v>3590</v>
          </cell>
          <cell r="E17">
            <v>2790</v>
          </cell>
          <cell r="F17">
            <v>93</v>
          </cell>
        </row>
      </sheetData>
      <sheetData sheetId="1">
        <row r="31">
          <cell r="D31">
            <v>26668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19466653</v>
          </cell>
          <cell r="E7">
            <v>1654695</v>
          </cell>
          <cell r="F7">
            <v>70078</v>
          </cell>
        </row>
        <row r="9">
          <cell r="D9">
            <v>579453</v>
          </cell>
          <cell r="E9">
            <v>263053</v>
          </cell>
          <cell r="F9">
            <v>21956</v>
          </cell>
        </row>
        <row r="19">
          <cell r="D19">
            <v>3248340</v>
          </cell>
          <cell r="E19">
            <v>129313</v>
          </cell>
          <cell r="F19">
            <v>4905</v>
          </cell>
        </row>
        <row r="21">
          <cell r="D21">
            <v>6336</v>
          </cell>
          <cell r="E21">
            <v>6678</v>
          </cell>
          <cell r="F21">
            <v>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104995608</v>
          </cell>
          <cell r="E7">
            <v>7327426</v>
          </cell>
          <cell r="F7">
            <v>377983</v>
          </cell>
        </row>
        <row r="9">
          <cell r="D9">
            <v>2459034</v>
          </cell>
          <cell r="E9">
            <v>1090852</v>
          </cell>
          <cell r="F9">
            <v>93173</v>
          </cell>
        </row>
        <row r="11">
          <cell r="D11">
            <v>6130</v>
          </cell>
          <cell r="E11">
            <v>5543</v>
          </cell>
          <cell r="F11">
            <v>238</v>
          </cell>
        </row>
        <row r="21">
          <cell r="D21">
            <v>3245</v>
          </cell>
          <cell r="E21">
            <v>3436</v>
          </cell>
          <cell r="F21">
            <v>126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9005825</v>
          </cell>
          <cell r="E7">
            <v>824909</v>
          </cell>
          <cell r="F7">
            <v>32421</v>
          </cell>
        </row>
        <row r="9">
          <cell r="D9">
            <v>130683</v>
          </cell>
          <cell r="E9">
            <v>51890</v>
          </cell>
          <cell r="F9">
            <v>4952</v>
          </cell>
        </row>
      </sheetData>
      <sheetData sheetId="1">
        <row r="31">
          <cell r="D31">
            <v>59945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12492210</v>
          </cell>
          <cell r="E7">
            <v>1060953</v>
          </cell>
          <cell r="F7">
            <v>44972</v>
          </cell>
        </row>
        <row r="11">
          <cell r="D11">
            <v>113143</v>
          </cell>
          <cell r="E11">
            <v>90012</v>
          </cell>
          <cell r="F11">
            <v>4390</v>
          </cell>
        </row>
        <row r="21">
          <cell r="D21">
            <v>2481</v>
          </cell>
          <cell r="E21">
            <v>2279</v>
          </cell>
          <cell r="F21">
            <v>96</v>
          </cell>
        </row>
      </sheetData>
      <sheetData sheetId="1">
        <row r="31">
          <cell r="D31">
            <v>56605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28655272</v>
          </cell>
          <cell r="E7">
            <v>1941545</v>
          </cell>
          <cell r="F7">
            <v>103159</v>
          </cell>
        </row>
        <row r="9">
          <cell r="D9">
            <v>404627</v>
          </cell>
          <cell r="E9">
            <v>181638</v>
          </cell>
          <cell r="F9">
            <v>15331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41670660</v>
          </cell>
          <cell r="E7">
            <v>3356915</v>
          </cell>
          <cell r="F7">
            <v>150014</v>
          </cell>
        </row>
        <row r="9">
          <cell r="D9">
            <v>4156478</v>
          </cell>
          <cell r="E9">
            <v>1599510</v>
          </cell>
          <cell r="F9">
            <v>157489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1520082</v>
          </cell>
          <cell r="E7">
            <v>129345</v>
          </cell>
          <cell r="F7">
            <v>5472</v>
          </cell>
        </row>
        <row r="9">
          <cell r="D9">
            <v>103179</v>
          </cell>
          <cell r="E9">
            <v>48345</v>
          </cell>
          <cell r="F9">
            <v>3909</v>
          </cell>
        </row>
      </sheetData>
      <sheetData sheetId="1">
        <row r="31">
          <cell r="D31">
            <v>11798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24643383</v>
          </cell>
          <cell r="E7">
            <v>1635860</v>
          </cell>
          <cell r="F7">
            <v>88717</v>
          </cell>
        </row>
        <row r="9">
          <cell r="D9">
            <v>25359</v>
          </cell>
          <cell r="E9">
            <v>15464</v>
          </cell>
          <cell r="F9">
            <v>960</v>
          </cell>
        </row>
        <row r="19">
          <cell r="D19">
            <v>21922357</v>
          </cell>
          <cell r="E19">
            <v>772393</v>
          </cell>
          <cell r="F19">
            <v>33102</v>
          </cell>
        </row>
      </sheetData>
      <sheetData sheetId="1">
        <row r="31">
          <cell r="D31">
            <v>207948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</sheetNames>
    <sheetDataSet>
      <sheetData sheetId="0">
        <row r="7">
          <cell r="D7">
            <v>1590562</v>
          </cell>
          <cell r="E7">
            <v>135932</v>
          </cell>
          <cell r="F7">
            <v>5726</v>
          </cell>
        </row>
        <row r="9">
          <cell r="D9">
            <v>106099</v>
          </cell>
          <cell r="E9">
            <v>49241</v>
          </cell>
          <cell r="F9">
            <v>4020</v>
          </cell>
        </row>
      </sheetData>
      <sheetData sheetId="1">
        <row r="31">
          <cell r="D31">
            <v>7684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104786224</v>
          </cell>
          <cell r="E7">
            <v>7504873</v>
          </cell>
          <cell r="F7">
            <v>377228</v>
          </cell>
        </row>
        <row r="9">
          <cell r="D9">
            <v>4354396</v>
          </cell>
          <cell r="E9">
            <v>1900630</v>
          </cell>
          <cell r="F9">
            <v>164989</v>
          </cell>
        </row>
        <row r="11">
          <cell r="D11">
            <v>3333</v>
          </cell>
          <cell r="E11">
            <v>3010</v>
          </cell>
          <cell r="F11">
            <v>129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12667730</v>
          </cell>
          <cell r="E7">
            <v>1040023</v>
          </cell>
          <cell r="F7">
            <v>45604</v>
          </cell>
        </row>
        <row r="9">
          <cell r="D9">
            <v>314265</v>
          </cell>
          <cell r="E9">
            <v>154227</v>
          </cell>
          <cell r="F9">
            <v>11909</v>
          </cell>
        </row>
      </sheetData>
      <sheetData sheetId="1">
        <row r="31">
          <cell r="D31">
            <v>91386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HQ"/>
      <sheetName val="Gaznat"/>
      <sheetName val="Gaz naturel"/>
      <sheetName val="Gaz naturel d'appoint"/>
      <sheetName val="Maz2 (FILGO)"/>
      <sheetName val="Maz5"/>
      <sheetName val="Maz6 (KILDAIR)"/>
      <sheetName val="Maz6 (KILDAIR)(2)"/>
      <sheetName val="Gazprop"/>
      <sheetName val="Vapeur"/>
      <sheetName val="Divers"/>
      <sheetName val="Superficies validéés"/>
      <sheetName val="Charge aux locataires"/>
      <sheetName val="détails facture Filgo"/>
      <sheetName val="Comparatif"/>
      <sheetName val="Constante énergétique"/>
    </sheetNames>
    <sheetDataSet>
      <sheetData sheetId="0">
        <row r="7">
          <cell r="D7">
            <v>143357071</v>
          </cell>
          <cell r="E7">
            <v>8964809</v>
          </cell>
          <cell r="F7">
            <v>516083</v>
          </cell>
        </row>
        <row r="9">
          <cell r="D9">
            <v>12544724</v>
          </cell>
          <cell r="E9">
            <v>4025842</v>
          </cell>
          <cell r="F9">
            <v>475319</v>
          </cell>
        </row>
        <row r="11">
          <cell r="D11">
            <v>100370</v>
          </cell>
          <cell r="E11">
            <v>96207</v>
          </cell>
          <cell r="F11">
            <v>3895</v>
          </cell>
        </row>
        <row r="15">
          <cell r="D15">
            <v>343251</v>
          </cell>
          <cell r="E15">
            <v>290255</v>
          </cell>
          <cell r="F15">
            <v>14588</v>
          </cell>
        </row>
        <row r="17">
          <cell r="D17">
            <v>6664</v>
          </cell>
          <cell r="E17">
            <v>9847</v>
          </cell>
          <cell r="F17">
            <v>170</v>
          </cell>
        </row>
      </sheetData>
      <sheetData sheetId="1">
        <row r="31">
          <cell r="D31">
            <v>709409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</sheetNames>
    <sheetDataSet>
      <sheetData sheetId="0">
        <row r="7">
          <cell r="D7">
            <v>15309799</v>
          </cell>
          <cell r="E7">
            <v>1230498</v>
          </cell>
          <cell r="F7">
            <v>55118</v>
          </cell>
        </row>
        <row r="9">
          <cell r="D9">
            <v>1493565</v>
          </cell>
          <cell r="E9">
            <v>714179</v>
          </cell>
          <cell r="F9">
            <v>56592</v>
          </cell>
        </row>
        <row r="11">
          <cell r="D11">
            <v>21398</v>
          </cell>
          <cell r="E11">
            <v>19674</v>
          </cell>
          <cell r="F11">
            <v>830</v>
          </cell>
        </row>
      </sheetData>
      <sheetData sheetId="1">
        <row r="31">
          <cell r="D31">
            <v>84619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</sheetNames>
    <sheetDataSet>
      <sheetData sheetId="0">
        <row r="7">
          <cell r="D7">
            <v>154022125</v>
          </cell>
          <cell r="E7">
            <v>10882139</v>
          </cell>
          <cell r="F7">
            <v>554482</v>
          </cell>
        </row>
        <row r="9">
          <cell r="D9">
            <v>15116764</v>
          </cell>
          <cell r="E9">
            <v>6020497</v>
          </cell>
          <cell r="F9">
            <v>572773</v>
          </cell>
        </row>
        <row r="11">
          <cell r="D11">
            <v>20864</v>
          </cell>
          <cell r="E11">
            <v>18851</v>
          </cell>
          <cell r="F11">
            <v>810</v>
          </cell>
        </row>
        <row r="19">
          <cell r="D19">
            <v>-25122</v>
          </cell>
          <cell r="E19">
            <v>-526</v>
          </cell>
          <cell r="F19">
            <v>-26</v>
          </cell>
        </row>
        <row r="21">
          <cell r="D21">
            <v>1294316454</v>
          </cell>
          <cell r="E21">
            <v>11528</v>
          </cell>
        </row>
      </sheetData>
      <sheetData sheetId="1">
        <row r="31">
          <cell r="D31">
            <v>728501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135358884</v>
          </cell>
          <cell r="E7">
            <v>9537976</v>
          </cell>
          <cell r="F7">
            <v>487289</v>
          </cell>
        </row>
        <row r="9">
          <cell r="D9">
            <v>12415731</v>
          </cell>
          <cell r="E9">
            <v>4900411</v>
          </cell>
          <cell r="F9">
            <v>470430</v>
          </cell>
        </row>
        <row r="11">
          <cell r="D11">
            <v>20270</v>
          </cell>
          <cell r="E11">
            <v>18642</v>
          </cell>
          <cell r="F11">
            <v>787</v>
          </cell>
        </row>
        <row r="19">
          <cell r="D19">
            <v>-9313782</v>
          </cell>
          <cell r="E19">
            <v>-119093</v>
          </cell>
          <cell r="F19">
            <v>-14064</v>
          </cell>
        </row>
        <row r="21">
          <cell r="D21">
            <v>24570</v>
          </cell>
          <cell r="E21">
            <v>22051</v>
          </cell>
          <cell r="F21">
            <v>953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21577998</v>
          </cell>
          <cell r="E7">
            <v>1690431</v>
          </cell>
          <cell r="F7">
            <v>77682</v>
          </cell>
        </row>
        <row r="9">
          <cell r="D9">
            <v>617189</v>
          </cell>
          <cell r="E9">
            <v>283803</v>
          </cell>
          <cell r="F9">
            <v>23385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29739746</v>
          </cell>
          <cell r="E7">
            <v>1907714</v>
          </cell>
          <cell r="F7">
            <v>107063</v>
          </cell>
        </row>
        <row r="9">
          <cell r="D9">
            <v>1526457</v>
          </cell>
          <cell r="E9">
            <v>546263</v>
          </cell>
          <cell r="F9">
            <v>57838</v>
          </cell>
        </row>
        <row r="11">
          <cell r="D11">
            <v>54373</v>
          </cell>
          <cell r="E11">
            <v>50387</v>
          </cell>
          <cell r="F11">
            <v>2110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9">
          <cell r="D19">
            <v>7274519</v>
          </cell>
          <cell r="E19">
            <v>128903</v>
          </cell>
          <cell r="F19">
            <v>10985</v>
          </cell>
        </row>
        <row r="21">
          <cell r="D21">
            <v>0</v>
          </cell>
          <cell r="E21">
            <v>0</v>
          </cell>
          <cell r="F21">
            <v>0</v>
          </cell>
        </row>
      </sheetData>
      <sheetData sheetId="1">
        <row r="31">
          <cell r="D31">
            <v>125932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Info gén."/>
      <sheetName val="Elect"/>
      <sheetName val="Gaznat"/>
      <sheetName val="Maz2"/>
      <sheetName val="Maz5"/>
      <sheetName val="Maz6"/>
      <sheetName val="Gazprop"/>
      <sheetName val="Vapeur"/>
      <sheetName val="Divers"/>
      <sheetName val="Constante énergétique"/>
    </sheetNames>
    <sheetDataSet>
      <sheetData sheetId="0">
        <row r="7">
          <cell r="D7">
            <v>95789705</v>
          </cell>
          <cell r="E7">
            <v>6474650</v>
          </cell>
          <cell r="F7">
            <v>344843</v>
          </cell>
        </row>
        <row r="9">
          <cell r="D9">
            <v>3462721</v>
          </cell>
          <cell r="E9">
            <v>1498607</v>
          </cell>
          <cell r="F9">
            <v>131202</v>
          </cell>
        </row>
        <row r="11">
          <cell r="D11">
            <v>8317</v>
          </cell>
          <cell r="E11">
            <v>7785</v>
          </cell>
          <cell r="F11">
            <v>323</v>
          </cell>
        </row>
        <row r="19">
          <cell r="D19">
            <v>3893644</v>
          </cell>
          <cell r="E19">
            <v>97342</v>
          </cell>
          <cell r="F19">
            <v>5879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"/>
  <sheetViews>
    <sheetView showGridLines="0" tabSelected="1" topLeftCell="X1" zoomScaleNormal="100" workbookViewId="0">
      <selection activeCell="AI9" sqref="AI9"/>
    </sheetView>
  </sheetViews>
  <sheetFormatPr defaultColWidth="11.42578125" defaultRowHeight="12.75"/>
  <cols>
    <col min="1" max="1" width="42.7109375" style="1" bestFit="1" customWidth="1"/>
    <col min="2" max="2" width="13" style="1" customWidth="1"/>
    <col min="3" max="3" width="14.140625" style="1" customWidth="1"/>
    <col min="4" max="4" width="10.85546875" style="1" customWidth="1"/>
    <col min="5" max="5" width="11.28515625" style="1" bestFit="1" customWidth="1"/>
    <col min="6" max="6" width="13.140625" style="1" customWidth="1"/>
    <col min="7" max="7" width="14.85546875" style="1" customWidth="1"/>
    <col min="8" max="8" width="9.5703125" style="1" customWidth="1"/>
    <col min="9" max="9" width="11.28515625" style="1" bestFit="1" customWidth="1"/>
    <col min="10" max="10" width="12.85546875" style="1" customWidth="1"/>
    <col min="11" max="11" width="13.140625" style="1" customWidth="1"/>
    <col min="12" max="12" width="10.42578125" style="1" customWidth="1"/>
    <col min="13" max="13" width="11.28515625" style="1" bestFit="1" customWidth="1"/>
    <col min="14" max="14" width="4.28515625" style="6" bestFit="1" customWidth="1"/>
    <col min="15" max="15" width="13.28515625" style="6" bestFit="1" customWidth="1"/>
    <col min="16" max="16" width="13.5703125" style="6" customWidth="1"/>
    <col min="17" max="17" width="11.7109375" style="6" customWidth="1"/>
    <col min="18" max="18" width="11.28515625" style="6" bestFit="1" customWidth="1"/>
    <col min="19" max="19" width="13.140625" style="1" customWidth="1"/>
    <col min="20" max="20" width="11.7109375" style="1" bestFit="1" customWidth="1"/>
    <col min="21" max="21" width="9.85546875" style="1" customWidth="1"/>
    <col min="22" max="22" width="12.140625" style="1" customWidth="1"/>
    <col min="23" max="23" width="13.140625" style="1" customWidth="1"/>
    <col min="24" max="24" width="13.5703125" style="1" customWidth="1"/>
    <col min="25" max="25" width="9.7109375" style="1" customWidth="1"/>
    <col min="26" max="26" width="11.28515625" style="1" bestFit="1" customWidth="1"/>
    <col min="27" max="27" width="13.42578125" style="1" customWidth="1"/>
    <col min="28" max="28" width="13.7109375" style="1" customWidth="1"/>
    <col min="29" max="29" width="10" style="1" customWidth="1"/>
    <col min="30" max="30" width="11.28515625" style="1" bestFit="1" customWidth="1"/>
    <col min="31" max="31" width="14.7109375" style="1" customWidth="1"/>
    <col min="32" max="32" width="11.140625" style="1" customWidth="1"/>
    <col min="33" max="33" width="13.7109375" style="1" customWidth="1"/>
    <col min="34" max="34" width="14.28515625" style="1" customWidth="1"/>
    <col min="35" max="35" width="13.5703125" style="1" customWidth="1"/>
    <col min="36" max="36" width="14.85546875" style="1" customWidth="1"/>
    <col min="37" max="37" width="16.42578125" style="1" customWidth="1"/>
    <col min="38" max="38" width="14" style="1" hidden="1" customWidth="1"/>
    <col min="39" max="42" width="9.5703125" style="1" hidden="1" customWidth="1"/>
    <col min="43" max="43" width="9.85546875" style="1" hidden="1" customWidth="1"/>
    <col min="44" max="44" width="9.5703125" style="1" hidden="1" customWidth="1"/>
    <col min="45" max="45" width="10.28515625" style="1" hidden="1" customWidth="1"/>
    <col min="46" max="46" width="9.5703125" style="1" hidden="1" customWidth="1"/>
    <col min="47" max="47" width="0" style="1" hidden="1" customWidth="1"/>
    <col min="48" max="16384" width="11.42578125" style="1"/>
  </cols>
  <sheetData>
    <row r="1" spans="1:46" ht="11.1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3"/>
      <c r="O1" s="23"/>
      <c r="P1" s="23"/>
      <c r="Q1" s="23"/>
      <c r="R1" s="23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46" ht="16.5" thickBot="1">
      <c r="A2" s="64"/>
      <c r="B2" s="65" t="s">
        <v>0</v>
      </c>
      <c r="C2" s="66"/>
      <c r="D2" s="66"/>
      <c r="E2" s="67"/>
      <c r="F2" s="68" t="s">
        <v>1</v>
      </c>
      <c r="G2" s="66"/>
      <c r="H2" s="66"/>
      <c r="I2" s="67"/>
      <c r="J2" s="68" t="s">
        <v>2</v>
      </c>
      <c r="K2" s="66"/>
      <c r="L2" s="66"/>
      <c r="M2" s="66"/>
      <c r="N2" s="69"/>
      <c r="O2" s="68" t="s">
        <v>54</v>
      </c>
      <c r="P2" s="68"/>
      <c r="Q2" s="68"/>
      <c r="R2" s="96"/>
      <c r="S2" s="68" t="s">
        <v>3</v>
      </c>
      <c r="T2" s="66"/>
      <c r="U2" s="66"/>
      <c r="V2" s="67"/>
      <c r="W2" s="68" t="s">
        <v>4</v>
      </c>
      <c r="X2" s="66"/>
      <c r="Y2" s="66"/>
      <c r="Z2" s="67"/>
      <c r="AA2" s="68" t="s">
        <v>5</v>
      </c>
      <c r="AB2" s="66"/>
      <c r="AC2" s="66"/>
      <c r="AD2" s="67"/>
      <c r="AE2" s="70" t="s">
        <v>6</v>
      </c>
      <c r="AF2" s="66"/>
      <c r="AG2" s="66"/>
      <c r="AH2" s="66"/>
      <c r="AI2" s="66"/>
      <c r="AJ2" s="66"/>
      <c r="AK2" s="87"/>
      <c r="AL2" s="121" t="s">
        <v>67</v>
      </c>
      <c r="AM2" s="122"/>
      <c r="AN2" s="122"/>
      <c r="AO2" s="122"/>
      <c r="AP2" s="122"/>
      <c r="AQ2" s="122"/>
      <c r="AR2" s="122"/>
      <c r="AS2" s="122"/>
      <c r="AT2" s="123"/>
    </row>
    <row r="3" spans="1:46">
      <c r="A3" s="72" t="s">
        <v>48</v>
      </c>
      <c r="B3" s="24" t="s">
        <v>7</v>
      </c>
      <c r="C3" s="24" t="s">
        <v>8</v>
      </c>
      <c r="D3" s="24" t="s">
        <v>9</v>
      </c>
      <c r="E3" s="24" t="s">
        <v>65</v>
      </c>
      <c r="F3" s="24" t="s">
        <v>7</v>
      </c>
      <c r="G3" s="24" t="s">
        <v>8</v>
      </c>
      <c r="H3" s="24" t="s">
        <v>9</v>
      </c>
      <c r="I3" s="24" t="s">
        <v>65</v>
      </c>
      <c r="J3" s="24" t="s">
        <v>7</v>
      </c>
      <c r="K3" s="24" t="s">
        <v>8</v>
      </c>
      <c r="L3" s="24" t="s">
        <v>9</v>
      </c>
      <c r="M3" s="24" t="s">
        <v>65</v>
      </c>
      <c r="N3" s="24" t="s">
        <v>11</v>
      </c>
      <c r="O3" s="24" t="s">
        <v>7</v>
      </c>
      <c r="P3" s="24" t="s">
        <v>8</v>
      </c>
      <c r="Q3" s="24" t="s">
        <v>9</v>
      </c>
      <c r="R3" s="24" t="s">
        <v>65</v>
      </c>
      <c r="S3" s="24" t="s">
        <v>7</v>
      </c>
      <c r="T3" s="24" t="s">
        <v>8</v>
      </c>
      <c r="U3" s="24" t="s">
        <v>9</v>
      </c>
      <c r="V3" s="24" t="s">
        <v>65</v>
      </c>
      <c r="W3" s="24" t="s">
        <v>7</v>
      </c>
      <c r="X3" s="24" t="s">
        <v>8</v>
      </c>
      <c r="Y3" s="24" t="s">
        <v>9</v>
      </c>
      <c r="Z3" s="24" t="s">
        <v>65</v>
      </c>
      <c r="AA3" s="24" t="s">
        <v>7</v>
      </c>
      <c r="AB3" s="24" t="s">
        <v>8</v>
      </c>
      <c r="AC3" s="24" t="s">
        <v>9</v>
      </c>
      <c r="AD3" s="24" t="s">
        <v>65</v>
      </c>
      <c r="AE3" s="38" t="s">
        <v>8</v>
      </c>
      <c r="AF3" s="24" t="s">
        <v>9</v>
      </c>
      <c r="AG3" s="24" t="s">
        <v>10</v>
      </c>
      <c r="AH3" s="24" t="s">
        <v>14</v>
      </c>
      <c r="AI3" s="24" t="s">
        <v>12</v>
      </c>
      <c r="AJ3" s="24" t="s">
        <v>7</v>
      </c>
      <c r="AK3" s="88" t="s">
        <v>13</v>
      </c>
      <c r="AL3" s="124" t="s">
        <v>55</v>
      </c>
      <c r="AM3" s="125" t="s">
        <v>56</v>
      </c>
      <c r="AN3" s="125" t="s">
        <v>58</v>
      </c>
      <c r="AO3" s="125" t="s">
        <v>58</v>
      </c>
      <c r="AP3" s="125" t="s">
        <v>58</v>
      </c>
      <c r="AQ3" s="125" t="s">
        <v>56</v>
      </c>
      <c r="AR3" s="125" t="s">
        <v>50</v>
      </c>
      <c r="AS3" s="125" t="s">
        <v>51</v>
      </c>
      <c r="AT3" s="126" t="s">
        <v>49</v>
      </c>
    </row>
    <row r="4" spans="1:46">
      <c r="A4" s="71"/>
      <c r="B4" s="25"/>
      <c r="C4" s="25"/>
      <c r="D4" s="25"/>
      <c r="E4" s="25" t="s">
        <v>66</v>
      </c>
      <c r="F4" s="25"/>
      <c r="G4" s="25"/>
      <c r="H4" s="25"/>
      <c r="I4" s="25" t="s">
        <v>66</v>
      </c>
      <c r="J4" s="25"/>
      <c r="K4" s="25"/>
      <c r="L4" s="25"/>
      <c r="M4" s="25" t="s">
        <v>66</v>
      </c>
      <c r="N4" s="25"/>
      <c r="O4" s="25"/>
      <c r="P4" s="25"/>
      <c r="Q4" s="25"/>
      <c r="R4" s="25" t="s">
        <v>66</v>
      </c>
      <c r="S4" s="25"/>
      <c r="T4" s="25"/>
      <c r="U4" s="25"/>
      <c r="V4" s="25" t="s">
        <v>66</v>
      </c>
      <c r="W4" s="25"/>
      <c r="X4" s="25"/>
      <c r="Y4" s="25"/>
      <c r="Z4" s="25" t="s">
        <v>66</v>
      </c>
      <c r="AA4" s="25"/>
      <c r="AB4" s="25"/>
      <c r="AC4" s="25"/>
      <c r="AD4" s="25" t="s">
        <v>66</v>
      </c>
      <c r="AE4" s="39"/>
      <c r="AF4" s="25"/>
      <c r="AG4" s="25" t="s">
        <v>16</v>
      </c>
      <c r="AH4" s="25" t="s">
        <v>17</v>
      </c>
      <c r="AI4" s="25" t="s">
        <v>18</v>
      </c>
      <c r="AJ4" s="25" t="s">
        <v>15</v>
      </c>
      <c r="AK4" s="89" t="s">
        <v>19</v>
      </c>
      <c r="AL4" s="127"/>
      <c r="AM4" s="128" t="s">
        <v>57</v>
      </c>
      <c r="AN4" s="128" t="s">
        <v>59</v>
      </c>
      <c r="AO4" s="128" t="s">
        <v>61</v>
      </c>
      <c r="AP4" s="128" t="s">
        <v>61</v>
      </c>
      <c r="AQ4" s="128" t="s">
        <v>64</v>
      </c>
      <c r="AR4" s="129"/>
      <c r="AS4" s="129"/>
      <c r="AT4" s="130"/>
    </row>
    <row r="5" spans="1:46">
      <c r="A5" s="73"/>
      <c r="B5" s="26" t="s">
        <v>20</v>
      </c>
      <c r="C5" s="22"/>
      <c r="D5" s="22"/>
      <c r="E5" s="26"/>
      <c r="F5" s="26" t="s">
        <v>21</v>
      </c>
      <c r="G5" s="22"/>
      <c r="H5" s="22"/>
      <c r="I5" s="26"/>
      <c r="J5" s="26" t="s">
        <v>22</v>
      </c>
      <c r="K5" s="22"/>
      <c r="L5" s="22"/>
      <c r="M5" s="26"/>
      <c r="N5" s="27"/>
      <c r="O5" s="26" t="s">
        <v>22</v>
      </c>
      <c r="P5" s="22"/>
      <c r="Q5" s="22"/>
      <c r="R5" s="26"/>
      <c r="S5" s="26" t="s">
        <v>22</v>
      </c>
      <c r="T5" s="22"/>
      <c r="U5" s="22"/>
      <c r="V5" s="26"/>
      <c r="W5" s="26" t="s">
        <v>23</v>
      </c>
      <c r="X5" s="22"/>
      <c r="Y5" s="22"/>
      <c r="Z5" s="26"/>
      <c r="AA5" s="26"/>
      <c r="AB5" s="22"/>
      <c r="AC5" s="22"/>
      <c r="AD5" s="26"/>
      <c r="AE5" s="40"/>
      <c r="AF5" s="22"/>
      <c r="AG5" s="26" t="s">
        <v>24</v>
      </c>
      <c r="AH5" s="26" t="s">
        <v>25</v>
      </c>
      <c r="AI5" s="26" t="s">
        <v>24</v>
      </c>
      <c r="AJ5" s="26" t="s">
        <v>26</v>
      </c>
      <c r="AK5" s="90" t="s">
        <v>27</v>
      </c>
      <c r="AL5" s="131"/>
      <c r="AM5" s="132"/>
      <c r="AN5" s="132" t="s">
        <v>60</v>
      </c>
      <c r="AO5" s="132" t="s">
        <v>63</v>
      </c>
      <c r="AP5" s="132" t="s">
        <v>62</v>
      </c>
      <c r="AQ5" s="132"/>
      <c r="AR5" s="132"/>
      <c r="AS5" s="132"/>
      <c r="AT5" s="133"/>
    </row>
    <row r="6" spans="1:46">
      <c r="A6" s="147"/>
      <c r="B6" s="149"/>
      <c r="C6" s="32"/>
      <c r="D6" s="29"/>
      <c r="E6" s="30"/>
      <c r="F6" s="28"/>
      <c r="G6" s="32"/>
      <c r="H6" s="29"/>
      <c r="I6" s="30"/>
      <c r="J6" s="28"/>
      <c r="K6" s="32"/>
      <c r="L6" s="29"/>
      <c r="M6" s="29"/>
      <c r="N6" s="31"/>
      <c r="O6" s="28"/>
      <c r="P6" s="32"/>
      <c r="Q6" s="29"/>
      <c r="R6" s="30"/>
      <c r="S6" s="28"/>
      <c r="T6" s="32"/>
      <c r="U6" s="29"/>
      <c r="V6" s="30"/>
      <c r="W6" s="28"/>
      <c r="X6" s="32"/>
      <c r="Y6" s="29"/>
      <c r="Z6" s="30"/>
      <c r="AA6" s="28"/>
      <c r="AB6" s="32"/>
      <c r="AC6" s="29"/>
      <c r="AD6" s="30"/>
      <c r="AE6" s="41"/>
      <c r="AF6" s="21"/>
      <c r="AG6" s="4"/>
      <c r="AH6" s="63"/>
      <c r="AI6" s="4"/>
      <c r="AJ6" s="4"/>
      <c r="AK6" s="91"/>
      <c r="AL6" s="134"/>
      <c r="AM6" s="135"/>
      <c r="AN6" s="135"/>
      <c r="AO6" s="135"/>
      <c r="AP6" s="135"/>
      <c r="AQ6" s="135"/>
      <c r="AR6" s="135"/>
      <c r="AS6" s="135"/>
      <c r="AT6" s="136"/>
    </row>
    <row r="7" spans="1:46" s="120" customFormat="1">
      <c r="A7" s="108" t="s">
        <v>69</v>
      </c>
      <c r="B7" s="111">
        <f>[1]Compilation!$D$7</f>
        <v>14759613</v>
      </c>
      <c r="C7" s="151">
        <f>[1]Compilation!$E$7</f>
        <v>1096373</v>
      </c>
      <c r="D7" s="109">
        <f>[1]Compilation!$F$7</f>
        <v>53134</v>
      </c>
      <c r="E7" s="110">
        <f>IF(OR(C7=0,D7=0),"",C7/D7)</f>
        <v>20.63</v>
      </c>
      <c r="F7" s="111">
        <f>[1]Compilation!$D$9</f>
        <v>891621</v>
      </c>
      <c r="G7" s="112">
        <f>[1]Compilation!$E$9</f>
        <v>393095</v>
      </c>
      <c r="H7" s="109">
        <f>[1]Compilation!$F$9</f>
        <v>33784</v>
      </c>
      <c r="I7" s="110">
        <f t="shared" ref="I7:I20" si="0">IF(OR(G7=0,H7=0),"",G7/H7)</f>
        <v>11.64</v>
      </c>
      <c r="J7" s="111">
        <f>[1]Compilation!$D$11</f>
        <v>20355</v>
      </c>
      <c r="K7" s="112">
        <f>[1]Compilation!$E$11</f>
        <v>19447</v>
      </c>
      <c r="L7" s="109">
        <f>[1]Compilation!$F$11</f>
        <v>791</v>
      </c>
      <c r="M7" s="113">
        <f t="shared" ref="M7:M20" si="1">IF(OR(K7=0,L7=0),"",K7/L7)</f>
        <v>24.59</v>
      </c>
      <c r="N7" s="114" t="s">
        <v>28</v>
      </c>
      <c r="O7" s="111"/>
      <c r="P7" s="112"/>
      <c r="Q7" s="109"/>
      <c r="R7" s="110" t="str">
        <f t="shared" ref="R7:R20" si="2">IF(OR(P7=0,Q7=0),"",P7/Q7)</f>
        <v/>
      </c>
      <c r="S7" s="111"/>
      <c r="T7" s="112"/>
      <c r="U7" s="109"/>
      <c r="V7" s="110" t="str">
        <f t="shared" ref="V7:V20" si="3">IF(OR(T7=0,U7=0),"",T7/U7)</f>
        <v/>
      </c>
      <c r="W7" s="111"/>
      <c r="X7" s="112"/>
      <c r="Y7" s="109"/>
      <c r="Z7" s="110" t="str">
        <f t="shared" ref="Z7:Z20" si="4">IF(OR(X7=0,Y7=0),"",X7/Y7)</f>
        <v/>
      </c>
      <c r="AA7" s="111"/>
      <c r="AB7" s="112"/>
      <c r="AC7" s="109"/>
      <c r="AD7" s="110" t="str">
        <f t="shared" ref="AD7:AD20" si="5">IF(OR(AB7=0,AC7=0),"",AB7/AC7)</f>
        <v/>
      </c>
      <c r="AE7" s="144">
        <f t="shared" ref="AE7:AE20" si="6">C7+G7+K7+P7+T7+X7+AB7</f>
        <v>1508915</v>
      </c>
      <c r="AF7" s="115">
        <f t="shared" ref="AF7:AF20" si="7">D7+H7+L7+Q7+U7+Y7+AC7</f>
        <v>87709</v>
      </c>
      <c r="AG7" s="116">
        <f t="shared" ref="AG7:AG20" si="8">IF(AE7=0,"",AE7/AF7)</f>
        <v>17.2</v>
      </c>
      <c r="AH7" s="143">
        <f>'[1]Info gén.'!$D$31</f>
        <v>91628</v>
      </c>
      <c r="AI7" s="117">
        <f t="shared" ref="AI7:AI20" si="9">AE7/AH7</f>
        <v>16.47</v>
      </c>
      <c r="AJ7" s="118">
        <f t="shared" ref="AJ7:AJ20" si="10">(AF7/AH7)</f>
        <v>0.96</v>
      </c>
      <c r="AK7" s="119">
        <f t="shared" ref="AK7:AK14" si="11">IF(AJ7=0,"-",AJ7/AJ$29)</f>
        <v>0.74419999999999997</v>
      </c>
      <c r="AL7" s="134">
        <v>6</v>
      </c>
      <c r="AM7" s="135">
        <v>22</v>
      </c>
      <c r="AN7" s="135">
        <v>4</v>
      </c>
      <c r="AO7" s="135">
        <v>0</v>
      </c>
      <c r="AP7" s="135">
        <v>0</v>
      </c>
      <c r="AQ7" s="135">
        <v>0</v>
      </c>
      <c r="AR7" s="135">
        <v>0</v>
      </c>
      <c r="AS7" s="135">
        <v>0</v>
      </c>
      <c r="AT7" s="136">
        <f t="shared" ref="AT7:AT20" si="12">SUM(AL7,AM7,AN7,AO7,AP7,AQ7,AR7,AS7)</f>
        <v>32</v>
      </c>
    </row>
    <row r="8" spans="1:46" s="171" customFormat="1" ht="12" customHeight="1">
      <c r="A8" s="154" t="s">
        <v>34</v>
      </c>
      <c r="B8" s="155">
        <f>[2]Compilation!$D$7</f>
        <v>104786224</v>
      </c>
      <c r="C8" s="156">
        <f>[2]Compilation!$E$7</f>
        <v>7504873</v>
      </c>
      <c r="D8" s="157">
        <f>[2]Compilation!$F$7</f>
        <v>377228</v>
      </c>
      <c r="E8" s="158">
        <f t="shared" ref="E8:E20" si="13">IF(OR(C8=0,D8=0),"",C8/D8)</f>
        <v>19.89</v>
      </c>
      <c r="F8" s="155">
        <f>[2]Compilation!$D$9</f>
        <v>4354396</v>
      </c>
      <c r="G8" s="156">
        <f>[2]Compilation!$E$9</f>
        <v>1900630</v>
      </c>
      <c r="H8" s="157">
        <f>[2]Compilation!$F$9</f>
        <v>164989</v>
      </c>
      <c r="I8" s="158">
        <f t="shared" si="0"/>
        <v>11.52</v>
      </c>
      <c r="J8" s="155">
        <f>[2]Compilation!$D$11</f>
        <v>3333</v>
      </c>
      <c r="K8" s="156">
        <f>[2]Compilation!$E$11</f>
        <v>3010</v>
      </c>
      <c r="L8" s="157">
        <f>[2]Compilation!$F$11</f>
        <v>129</v>
      </c>
      <c r="M8" s="159">
        <f t="shared" si="1"/>
        <v>23.33</v>
      </c>
      <c r="N8" s="160" t="s">
        <v>28</v>
      </c>
      <c r="O8" s="155"/>
      <c r="P8" s="156"/>
      <c r="Q8" s="157"/>
      <c r="R8" s="158" t="str">
        <f t="shared" si="2"/>
        <v/>
      </c>
      <c r="S8" s="155"/>
      <c r="T8" s="156"/>
      <c r="U8" s="157"/>
      <c r="V8" s="158" t="str">
        <f t="shared" si="3"/>
        <v/>
      </c>
      <c r="W8" s="155"/>
      <c r="X8" s="156"/>
      <c r="Y8" s="157"/>
      <c r="Z8" s="158" t="str">
        <f t="shared" si="4"/>
        <v/>
      </c>
      <c r="AA8" s="155"/>
      <c r="AB8" s="156"/>
      <c r="AC8" s="157"/>
      <c r="AD8" s="158" t="str">
        <f t="shared" si="5"/>
        <v/>
      </c>
      <c r="AE8" s="161">
        <f t="shared" si="6"/>
        <v>9408513</v>
      </c>
      <c r="AF8" s="162">
        <f t="shared" si="7"/>
        <v>542346</v>
      </c>
      <c r="AG8" s="163">
        <f t="shared" si="8"/>
        <v>17.350000000000001</v>
      </c>
      <c r="AH8" s="164">
        <v>492484</v>
      </c>
      <c r="AI8" s="165">
        <f t="shared" si="9"/>
        <v>19.100000000000001</v>
      </c>
      <c r="AJ8" s="166">
        <f t="shared" si="10"/>
        <v>1.1000000000000001</v>
      </c>
      <c r="AK8" s="167">
        <f t="shared" si="11"/>
        <v>0.85270000000000001</v>
      </c>
      <c r="AL8" s="168">
        <v>16</v>
      </c>
      <c r="AM8" s="169">
        <v>42</v>
      </c>
      <c r="AN8" s="169">
        <v>2</v>
      </c>
      <c r="AO8" s="169">
        <v>0</v>
      </c>
      <c r="AP8" s="169">
        <v>0</v>
      </c>
      <c r="AQ8" s="169" t="s">
        <v>75</v>
      </c>
      <c r="AR8" s="169">
        <v>0</v>
      </c>
      <c r="AS8" s="169">
        <v>1</v>
      </c>
      <c r="AT8" s="170">
        <f t="shared" si="12"/>
        <v>61</v>
      </c>
    </row>
    <row r="9" spans="1:46" s="189" customFormat="1">
      <c r="A9" s="172" t="s">
        <v>35</v>
      </c>
      <c r="B9" s="173">
        <f>[3]Compilation!$D$7</f>
        <v>143357071</v>
      </c>
      <c r="C9" s="174">
        <f>[3]Compilation!$E$7</f>
        <v>8964809</v>
      </c>
      <c r="D9" s="175">
        <f>[3]Compilation!$F$7</f>
        <v>516083</v>
      </c>
      <c r="E9" s="176">
        <f t="shared" si="13"/>
        <v>17.37</v>
      </c>
      <c r="F9" s="173">
        <f>[3]Compilation!$D$9</f>
        <v>12544724</v>
      </c>
      <c r="G9" s="174">
        <f>[3]Compilation!$E$9</f>
        <v>4025842</v>
      </c>
      <c r="H9" s="175">
        <f>[3]Compilation!$F$9</f>
        <v>475319</v>
      </c>
      <c r="I9" s="176">
        <f t="shared" si="0"/>
        <v>8.4700000000000006</v>
      </c>
      <c r="J9" s="173">
        <f>[3]Compilation!$D$11</f>
        <v>100370</v>
      </c>
      <c r="K9" s="174">
        <f>[3]Compilation!$E$11</f>
        <v>96207</v>
      </c>
      <c r="L9" s="175">
        <f>[3]Compilation!$F$11</f>
        <v>3895</v>
      </c>
      <c r="M9" s="177">
        <f t="shared" si="1"/>
        <v>24.7</v>
      </c>
      <c r="N9" s="178" t="s">
        <v>28</v>
      </c>
      <c r="O9" s="173">
        <f>[3]Compilation!$D$15</f>
        <v>343251</v>
      </c>
      <c r="P9" s="174">
        <f>[3]Compilation!$E$15</f>
        <v>290255</v>
      </c>
      <c r="Q9" s="175">
        <f>[3]Compilation!$F$15</f>
        <v>14588</v>
      </c>
      <c r="R9" s="176">
        <f t="shared" si="2"/>
        <v>19.899999999999999</v>
      </c>
      <c r="S9" s="173">
        <f>[3]Compilation!$D$17</f>
        <v>6664</v>
      </c>
      <c r="T9" s="174">
        <f>[3]Compilation!$E$17</f>
        <v>9847</v>
      </c>
      <c r="U9" s="175">
        <f>[3]Compilation!$F$17</f>
        <v>170</v>
      </c>
      <c r="V9" s="176">
        <f t="shared" si="3"/>
        <v>57.92</v>
      </c>
      <c r="W9" s="173"/>
      <c r="X9" s="174"/>
      <c r="Y9" s="175"/>
      <c r="Z9" s="176" t="str">
        <f t="shared" si="4"/>
        <v/>
      </c>
      <c r="AA9" s="173"/>
      <c r="AB9" s="174"/>
      <c r="AC9" s="175"/>
      <c r="AD9" s="176" t="str">
        <f t="shared" si="5"/>
        <v/>
      </c>
      <c r="AE9" s="179">
        <f t="shared" si="6"/>
        <v>13386960</v>
      </c>
      <c r="AF9" s="180">
        <f t="shared" si="7"/>
        <v>1010055</v>
      </c>
      <c r="AG9" s="181">
        <f t="shared" si="8"/>
        <v>13.25</v>
      </c>
      <c r="AH9" s="182">
        <f>'[3]Info gén.'!$D$31</f>
        <v>709409</v>
      </c>
      <c r="AI9" s="183">
        <f t="shared" si="9"/>
        <v>18.87</v>
      </c>
      <c r="AJ9" s="184">
        <f t="shared" si="10"/>
        <v>1.42</v>
      </c>
      <c r="AK9" s="185">
        <f t="shared" si="11"/>
        <v>1.1008</v>
      </c>
      <c r="AL9" s="186">
        <v>7</v>
      </c>
      <c r="AM9" s="187">
        <v>32</v>
      </c>
      <c r="AN9" s="187">
        <v>3</v>
      </c>
      <c r="AO9" s="187">
        <v>0</v>
      </c>
      <c r="AP9" s="187">
        <v>0</v>
      </c>
      <c r="AQ9" s="187" t="s">
        <v>75</v>
      </c>
      <c r="AR9" s="187">
        <v>0</v>
      </c>
      <c r="AS9" s="187" t="s">
        <v>76</v>
      </c>
      <c r="AT9" s="188">
        <f t="shared" si="12"/>
        <v>42</v>
      </c>
    </row>
    <row r="10" spans="1:46" s="189" customFormat="1">
      <c r="A10" s="172" t="s">
        <v>36</v>
      </c>
      <c r="B10" s="173">
        <f>[4]Compilation!$D$7+[5]Compilation!$D$7</f>
        <v>169331924</v>
      </c>
      <c r="C10" s="174">
        <f>[5]Compilation!$E$7+[4]Compilation!$E$7</f>
        <v>12112637</v>
      </c>
      <c r="D10" s="175">
        <f>[4]Compilation!$F$7+[5]Compilation!$F$7</f>
        <v>609600</v>
      </c>
      <c r="E10" s="176">
        <f t="shared" si="13"/>
        <v>19.87</v>
      </c>
      <c r="F10" s="173">
        <f>[5]Compilation!$D$9+[4]Compilation!$D$9</f>
        <v>16610329</v>
      </c>
      <c r="G10" s="174">
        <f>[4]Compilation!$E$9+[5]Compilation!$E$9</f>
        <v>6734676</v>
      </c>
      <c r="H10" s="175">
        <f>[5]Compilation!$F$9+[4]Compilation!$F$9</f>
        <v>629365</v>
      </c>
      <c r="I10" s="176">
        <f t="shared" si="0"/>
        <v>10.7</v>
      </c>
      <c r="J10" s="173">
        <f>[4]Compilation!$D$11+[5]Compilation!$D$11</f>
        <v>42262</v>
      </c>
      <c r="K10" s="174">
        <f>[5]Compilation!$E$11+[4]Compilation!$E$11</f>
        <v>38525</v>
      </c>
      <c r="L10" s="175">
        <f>[4]Compilation!$F$11+[5]Compilation!$F$11</f>
        <v>1640</v>
      </c>
      <c r="M10" s="177">
        <f t="shared" si="1"/>
        <v>23.49</v>
      </c>
      <c r="N10" s="178" t="s">
        <v>28</v>
      </c>
      <c r="O10" s="173"/>
      <c r="P10" s="174"/>
      <c r="Q10" s="175"/>
      <c r="R10" s="176" t="str">
        <f t="shared" si="2"/>
        <v/>
      </c>
      <c r="S10" s="173"/>
      <c r="T10" s="174"/>
      <c r="U10" s="175"/>
      <c r="V10" s="176" t="str">
        <f t="shared" si="3"/>
        <v/>
      </c>
      <c r="W10" s="173">
        <f>[5]Compilation!$D$19</f>
        <v>-25122</v>
      </c>
      <c r="X10" s="174">
        <f>[5]Compilation!$E$19</f>
        <v>-526</v>
      </c>
      <c r="Y10" s="175">
        <f>[5]Compilation!$F$19</f>
        <v>-26</v>
      </c>
      <c r="Z10" s="176">
        <f t="shared" si="4"/>
        <v>20.23</v>
      </c>
      <c r="AA10" s="173">
        <f>[5]Compilation!$D$21</f>
        <v>1294316454</v>
      </c>
      <c r="AB10" s="174">
        <f>[5]Compilation!$E$21</f>
        <v>11528</v>
      </c>
      <c r="AC10" s="175"/>
      <c r="AD10" s="176" t="str">
        <f t="shared" si="5"/>
        <v/>
      </c>
      <c r="AE10" s="179">
        <f>C10+G10+K10+P10+T10+X10+AB10</f>
        <v>18896840</v>
      </c>
      <c r="AF10" s="180">
        <f t="shared" si="7"/>
        <v>1240579</v>
      </c>
      <c r="AG10" s="181">
        <f t="shared" si="8"/>
        <v>15.23</v>
      </c>
      <c r="AH10" s="182">
        <f>'[5]Info gén.'!$D$31+'[4]Info gén.'!$D$31</f>
        <v>813120</v>
      </c>
      <c r="AI10" s="183">
        <f t="shared" si="9"/>
        <v>23.24</v>
      </c>
      <c r="AJ10" s="184">
        <f t="shared" si="10"/>
        <v>1.53</v>
      </c>
      <c r="AK10" s="185">
        <f t="shared" si="11"/>
        <v>1.1859999999999999</v>
      </c>
      <c r="AL10" s="186">
        <v>25</v>
      </c>
      <c r="AM10" s="187">
        <v>124</v>
      </c>
      <c r="AN10" s="187">
        <v>12</v>
      </c>
      <c r="AO10" s="187">
        <v>0</v>
      </c>
      <c r="AP10" s="187">
        <v>0</v>
      </c>
      <c r="AQ10" s="187" t="e">
        <v>#VALUE!</v>
      </c>
      <c r="AR10" s="187">
        <v>0</v>
      </c>
      <c r="AS10" s="187">
        <v>0</v>
      </c>
      <c r="AT10" s="188" t="e">
        <f t="shared" si="12"/>
        <v>#VALUE!</v>
      </c>
    </row>
    <row r="11" spans="1:46" s="189" customFormat="1">
      <c r="A11" s="172" t="s">
        <v>37</v>
      </c>
      <c r="B11" s="173">
        <f>[6]Compilation!$D$7</f>
        <v>135358884</v>
      </c>
      <c r="C11" s="174">
        <f>[6]Compilation!$E$7</f>
        <v>9537976</v>
      </c>
      <c r="D11" s="175">
        <f>[6]Compilation!$F$7</f>
        <v>487289</v>
      </c>
      <c r="E11" s="176">
        <f t="shared" si="13"/>
        <v>19.57</v>
      </c>
      <c r="F11" s="173">
        <f>[6]Compilation!$D$9</f>
        <v>12415731</v>
      </c>
      <c r="G11" s="174">
        <f>[6]Compilation!$E$9</f>
        <v>4900411</v>
      </c>
      <c r="H11" s="175">
        <f>[6]Compilation!$F$9</f>
        <v>470430</v>
      </c>
      <c r="I11" s="176">
        <f t="shared" si="0"/>
        <v>10.42</v>
      </c>
      <c r="J11" s="173">
        <f>[6]Compilation!$D$11</f>
        <v>20270</v>
      </c>
      <c r="K11" s="174">
        <f>[6]Compilation!$E$11</f>
        <v>18642</v>
      </c>
      <c r="L11" s="175">
        <f>[6]Compilation!$F$11</f>
        <v>787</v>
      </c>
      <c r="M11" s="177">
        <f t="shared" si="1"/>
        <v>23.69</v>
      </c>
      <c r="N11" s="178" t="s">
        <v>28</v>
      </c>
      <c r="O11" s="173"/>
      <c r="P11" s="174"/>
      <c r="Q11" s="175"/>
      <c r="R11" s="176" t="str">
        <f t="shared" si="2"/>
        <v/>
      </c>
      <c r="S11" s="173"/>
      <c r="T11" s="174"/>
      <c r="U11" s="175"/>
      <c r="V11" s="176" t="str">
        <f t="shared" si="3"/>
        <v/>
      </c>
      <c r="W11" s="173">
        <f>[6]Compilation!$D$19</f>
        <v>-9313782</v>
      </c>
      <c r="X11" s="174">
        <f>[6]Compilation!$E$19</f>
        <v>-119093</v>
      </c>
      <c r="Y11" s="175">
        <f>[6]Compilation!$F$19</f>
        <v>-14064</v>
      </c>
      <c r="Z11" s="176">
        <f t="shared" si="4"/>
        <v>8.4700000000000006</v>
      </c>
      <c r="AA11" s="173">
        <f>[6]Compilation!$D$21</f>
        <v>24570</v>
      </c>
      <c r="AB11" s="174">
        <f>[6]Compilation!$E$21</f>
        <v>22051</v>
      </c>
      <c r="AC11" s="175">
        <f>[6]Compilation!$F$21</f>
        <v>953</v>
      </c>
      <c r="AD11" s="176">
        <f t="shared" si="5"/>
        <v>23.14</v>
      </c>
      <c r="AE11" s="179">
        <f t="shared" si="6"/>
        <v>14359987</v>
      </c>
      <c r="AF11" s="180">
        <f t="shared" si="7"/>
        <v>945395</v>
      </c>
      <c r="AG11" s="181">
        <f t="shared" si="8"/>
        <v>15.19</v>
      </c>
      <c r="AH11" s="182">
        <v>627723</v>
      </c>
      <c r="AI11" s="183">
        <f t="shared" si="9"/>
        <v>22.88</v>
      </c>
      <c r="AJ11" s="184">
        <f t="shared" si="10"/>
        <v>1.51</v>
      </c>
      <c r="AK11" s="185">
        <f t="shared" si="11"/>
        <v>1.1705000000000001</v>
      </c>
      <c r="AL11" s="186">
        <v>19</v>
      </c>
      <c r="AM11" s="187">
        <v>45</v>
      </c>
      <c r="AN11" s="187">
        <v>6</v>
      </c>
      <c r="AO11" s="187">
        <v>0</v>
      </c>
      <c r="AP11" s="187">
        <v>0</v>
      </c>
      <c r="AQ11" s="187" t="s">
        <v>75</v>
      </c>
      <c r="AR11" s="187">
        <v>0</v>
      </c>
      <c r="AS11" s="187">
        <v>0</v>
      </c>
      <c r="AT11" s="188">
        <f t="shared" si="12"/>
        <v>70</v>
      </c>
    </row>
    <row r="12" spans="1:46" s="120" customFormat="1">
      <c r="A12" s="108" t="s">
        <v>70</v>
      </c>
      <c r="B12" s="111">
        <f>[7]Compilation!$D$7</f>
        <v>21577998</v>
      </c>
      <c r="C12" s="112">
        <f>[7]Compilation!$E$7</f>
        <v>1690431</v>
      </c>
      <c r="D12" s="109">
        <f>[7]Compilation!$F$7</f>
        <v>77682</v>
      </c>
      <c r="E12" s="110">
        <f t="shared" si="13"/>
        <v>21.76</v>
      </c>
      <c r="F12" s="111">
        <f>[7]Compilation!$D$9</f>
        <v>617189</v>
      </c>
      <c r="G12" s="112">
        <f>[7]Compilation!$E$9</f>
        <v>283803</v>
      </c>
      <c r="H12" s="109">
        <f>[7]Compilation!$F$9</f>
        <v>23385</v>
      </c>
      <c r="I12" s="110">
        <f t="shared" si="0"/>
        <v>12.14</v>
      </c>
      <c r="J12" s="111"/>
      <c r="K12" s="112"/>
      <c r="L12" s="109"/>
      <c r="M12" s="113" t="str">
        <f t="shared" si="1"/>
        <v/>
      </c>
      <c r="N12" s="114" t="s">
        <v>28</v>
      </c>
      <c r="O12" s="111"/>
      <c r="P12" s="112"/>
      <c r="Q12" s="109"/>
      <c r="R12" s="110" t="str">
        <f t="shared" si="2"/>
        <v/>
      </c>
      <c r="S12" s="111"/>
      <c r="T12" s="112"/>
      <c r="U12" s="109"/>
      <c r="V12" s="110" t="str">
        <f t="shared" si="3"/>
        <v/>
      </c>
      <c r="W12" s="111"/>
      <c r="X12" s="112"/>
      <c r="Y12" s="109"/>
      <c r="Z12" s="110" t="str">
        <f t="shared" si="4"/>
        <v/>
      </c>
      <c r="AA12" s="111"/>
      <c r="AB12" s="112"/>
      <c r="AC12" s="109"/>
      <c r="AD12" s="110" t="str">
        <f t="shared" si="5"/>
        <v/>
      </c>
      <c r="AE12" s="144">
        <f t="shared" si="6"/>
        <v>1974234</v>
      </c>
      <c r="AF12" s="115">
        <f t="shared" si="7"/>
        <v>101067</v>
      </c>
      <c r="AG12" s="116">
        <f t="shared" si="8"/>
        <v>19.53</v>
      </c>
      <c r="AH12" s="143">
        <v>108443</v>
      </c>
      <c r="AI12" s="117">
        <f t="shared" si="9"/>
        <v>18.21</v>
      </c>
      <c r="AJ12" s="118">
        <f t="shared" si="10"/>
        <v>0.93</v>
      </c>
      <c r="AK12" s="119">
        <f t="shared" si="11"/>
        <v>0.72089999999999999</v>
      </c>
      <c r="AL12" s="134">
        <v>4</v>
      </c>
      <c r="AM12" s="135">
        <v>2</v>
      </c>
      <c r="AN12" s="135">
        <v>0</v>
      </c>
      <c r="AO12" s="135">
        <v>0</v>
      </c>
      <c r="AP12" s="135">
        <v>0</v>
      </c>
      <c r="AQ12" s="135" t="s">
        <v>75</v>
      </c>
      <c r="AR12" s="135">
        <v>0</v>
      </c>
      <c r="AS12" s="135">
        <v>0</v>
      </c>
      <c r="AT12" s="136">
        <f t="shared" si="12"/>
        <v>6</v>
      </c>
    </row>
    <row r="13" spans="1:46" s="120" customFormat="1">
      <c r="A13" s="108" t="s">
        <v>38</v>
      </c>
      <c r="B13" s="111">
        <f>[8]Compilation!$D$7</f>
        <v>29739746</v>
      </c>
      <c r="C13" s="152">
        <f>[8]Compilation!$E$7</f>
        <v>1907714</v>
      </c>
      <c r="D13" s="109">
        <f>[8]Compilation!$F$7</f>
        <v>107063</v>
      </c>
      <c r="E13" s="110">
        <f t="shared" si="13"/>
        <v>17.82</v>
      </c>
      <c r="F13" s="111">
        <f>[8]Compilation!$D$9</f>
        <v>1526457</v>
      </c>
      <c r="G13" s="152">
        <f>[8]Compilation!$E$9</f>
        <v>546263</v>
      </c>
      <c r="H13" s="109">
        <f>[8]Compilation!$F$9</f>
        <v>57838</v>
      </c>
      <c r="I13" s="110">
        <f t="shared" si="0"/>
        <v>9.44</v>
      </c>
      <c r="J13" s="111">
        <f>[8]Compilation!$D$11</f>
        <v>54373</v>
      </c>
      <c r="K13" s="152">
        <f>[8]Compilation!$E$11</f>
        <v>50387</v>
      </c>
      <c r="L13" s="109">
        <f>[8]Compilation!$F$11</f>
        <v>2110</v>
      </c>
      <c r="M13" s="113">
        <f t="shared" si="1"/>
        <v>23.88</v>
      </c>
      <c r="N13" s="114" t="s">
        <v>28</v>
      </c>
      <c r="O13" s="111">
        <f>[8]Compilation!$D$13+[8]Compilation!$D$15</f>
        <v>0</v>
      </c>
      <c r="P13" s="112">
        <f>[8]Compilation!$E$13+[8]Compilation!$E$15</f>
        <v>0</v>
      </c>
      <c r="Q13" s="109">
        <f>[8]Compilation!$E$13+[8]Compilation!$E$15</f>
        <v>0</v>
      </c>
      <c r="R13" s="110" t="str">
        <f t="shared" si="2"/>
        <v/>
      </c>
      <c r="S13" s="111">
        <f>[8]Compilation!$D$17</f>
        <v>0</v>
      </c>
      <c r="T13" s="152">
        <f>[8]Compilation!$E$17</f>
        <v>0</v>
      </c>
      <c r="U13" s="109">
        <f>[8]Compilation!$F$17</f>
        <v>0</v>
      </c>
      <c r="V13" s="110" t="str">
        <f t="shared" si="3"/>
        <v/>
      </c>
      <c r="W13" s="111">
        <f>[8]Compilation!$D$19</f>
        <v>7274519</v>
      </c>
      <c r="X13" s="152">
        <f>[8]Compilation!$E$19</f>
        <v>128903</v>
      </c>
      <c r="Y13" s="109">
        <f>[8]Compilation!$F$19</f>
        <v>10985</v>
      </c>
      <c r="Z13" s="110">
        <f t="shared" si="4"/>
        <v>11.73</v>
      </c>
      <c r="AA13" s="111">
        <f>[8]Compilation!$D$21</f>
        <v>0</v>
      </c>
      <c r="AB13" s="152">
        <f>[8]Compilation!$E$21</f>
        <v>0</v>
      </c>
      <c r="AC13" s="109">
        <f>[8]Compilation!$F$21</f>
        <v>0</v>
      </c>
      <c r="AD13" s="110" t="str">
        <f t="shared" si="5"/>
        <v/>
      </c>
      <c r="AE13" s="144">
        <f t="shared" si="6"/>
        <v>2633267</v>
      </c>
      <c r="AF13" s="115">
        <f t="shared" si="7"/>
        <v>177996</v>
      </c>
      <c r="AG13" s="116">
        <f t="shared" si="8"/>
        <v>14.79</v>
      </c>
      <c r="AH13" s="143">
        <f>'[8]Info gén.'!$D$31+5616</f>
        <v>131548</v>
      </c>
      <c r="AI13" s="117">
        <f t="shared" si="9"/>
        <v>20.02</v>
      </c>
      <c r="AJ13" s="118">
        <f t="shared" si="10"/>
        <v>1.35</v>
      </c>
      <c r="AK13" s="119">
        <f t="shared" si="11"/>
        <v>1.0465</v>
      </c>
      <c r="AL13" s="134">
        <v>2</v>
      </c>
      <c r="AM13" s="135">
        <v>1</v>
      </c>
      <c r="AN13" s="135">
        <v>0</v>
      </c>
      <c r="AO13" s="135">
        <v>0</v>
      </c>
      <c r="AP13" s="135">
        <v>0</v>
      </c>
      <c r="AQ13" s="135" t="s">
        <v>75</v>
      </c>
      <c r="AR13" s="135">
        <v>0</v>
      </c>
      <c r="AS13" s="135">
        <v>0</v>
      </c>
      <c r="AT13" s="136">
        <f t="shared" si="12"/>
        <v>3</v>
      </c>
    </row>
    <row r="14" spans="1:46" s="189" customFormat="1">
      <c r="A14" s="172" t="s">
        <v>39</v>
      </c>
      <c r="B14" s="173">
        <f>[9]Compilation!$D$7</f>
        <v>95789705</v>
      </c>
      <c r="C14" s="191">
        <f>[9]Compilation!$E$7</f>
        <v>6474650</v>
      </c>
      <c r="D14" s="175">
        <f>[9]Compilation!$F$7</f>
        <v>344843</v>
      </c>
      <c r="E14" s="176">
        <f t="shared" si="13"/>
        <v>18.78</v>
      </c>
      <c r="F14" s="173">
        <f>[9]Compilation!$D$9</f>
        <v>3462721</v>
      </c>
      <c r="G14" s="191">
        <f>[9]Compilation!$E$9</f>
        <v>1498607</v>
      </c>
      <c r="H14" s="175">
        <f>[9]Compilation!$F$9</f>
        <v>131202</v>
      </c>
      <c r="I14" s="176">
        <f t="shared" si="0"/>
        <v>11.42</v>
      </c>
      <c r="J14" s="173">
        <f>[9]Compilation!$D$11</f>
        <v>8317</v>
      </c>
      <c r="K14" s="191">
        <f>[9]Compilation!$E$11</f>
        <v>7785</v>
      </c>
      <c r="L14" s="175">
        <f>[9]Compilation!$F$11</f>
        <v>323</v>
      </c>
      <c r="M14" s="177">
        <f t="shared" si="1"/>
        <v>24.1</v>
      </c>
      <c r="N14" s="178" t="s">
        <v>28</v>
      </c>
      <c r="O14" s="173"/>
      <c r="P14" s="174"/>
      <c r="Q14" s="175"/>
      <c r="R14" s="176" t="str">
        <f t="shared" si="2"/>
        <v/>
      </c>
      <c r="S14" s="173"/>
      <c r="T14" s="174"/>
      <c r="U14" s="175"/>
      <c r="V14" s="176" t="str">
        <f t="shared" si="3"/>
        <v/>
      </c>
      <c r="W14" s="173">
        <f>[9]Compilation!$D$19</f>
        <v>3893644</v>
      </c>
      <c r="X14" s="191">
        <f>[9]Compilation!$E$19</f>
        <v>97342</v>
      </c>
      <c r="Y14" s="175">
        <f>[9]Compilation!$F$19</f>
        <v>5879</v>
      </c>
      <c r="Z14" s="176">
        <f t="shared" si="4"/>
        <v>16.559999999999999</v>
      </c>
      <c r="AA14" s="173"/>
      <c r="AB14" s="174"/>
      <c r="AC14" s="175"/>
      <c r="AD14" s="176" t="str">
        <f t="shared" si="5"/>
        <v/>
      </c>
      <c r="AE14" s="179">
        <f t="shared" si="6"/>
        <v>8078384</v>
      </c>
      <c r="AF14" s="180">
        <f t="shared" si="7"/>
        <v>482247</v>
      </c>
      <c r="AG14" s="181">
        <f t="shared" si="8"/>
        <v>16.75</v>
      </c>
      <c r="AH14" s="182">
        <v>386964</v>
      </c>
      <c r="AI14" s="183">
        <f t="shared" si="9"/>
        <v>20.88</v>
      </c>
      <c r="AJ14" s="184">
        <f t="shared" si="10"/>
        <v>1.25</v>
      </c>
      <c r="AK14" s="185">
        <f t="shared" si="11"/>
        <v>0.96899999999999997</v>
      </c>
      <c r="AL14" s="186">
        <v>17</v>
      </c>
      <c r="AM14" s="187">
        <v>98</v>
      </c>
      <c r="AN14" s="187">
        <v>0</v>
      </c>
      <c r="AO14" s="187">
        <v>0</v>
      </c>
      <c r="AP14" s="187">
        <v>0</v>
      </c>
      <c r="AQ14" s="187" t="s">
        <v>75</v>
      </c>
      <c r="AR14" s="187">
        <v>5</v>
      </c>
      <c r="AS14" s="187">
        <v>0</v>
      </c>
      <c r="AT14" s="188">
        <f t="shared" si="12"/>
        <v>120</v>
      </c>
    </row>
    <row r="15" spans="1:46" s="120" customFormat="1">
      <c r="A15" s="108" t="s">
        <v>40</v>
      </c>
      <c r="B15" s="111"/>
      <c r="C15" s="112"/>
      <c r="D15" s="109"/>
      <c r="E15" s="110"/>
      <c r="F15" s="111"/>
      <c r="G15" s="112"/>
      <c r="H15" s="109"/>
      <c r="I15" s="110"/>
      <c r="J15" s="111"/>
      <c r="K15" s="109"/>
      <c r="L15" s="109"/>
      <c r="M15" s="113"/>
      <c r="N15" s="114"/>
      <c r="O15" s="111"/>
      <c r="P15" s="112"/>
      <c r="Q15" s="109"/>
      <c r="R15" s="110"/>
      <c r="S15" s="111"/>
      <c r="T15" s="112"/>
      <c r="U15" s="109"/>
      <c r="V15" s="110"/>
      <c r="W15" s="111"/>
      <c r="X15" s="112"/>
      <c r="Y15" s="109"/>
      <c r="Z15" s="110"/>
      <c r="AA15" s="111"/>
      <c r="AB15" s="112"/>
      <c r="AC15" s="109"/>
      <c r="AD15" s="110"/>
      <c r="AE15" s="144"/>
      <c r="AF15" s="115"/>
      <c r="AG15" s="116"/>
      <c r="AH15" s="143"/>
      <c r="AI15" s="117"/>
      <c r="AJ15" s="118"/>
      <c r="AK15" s="119"/>
      <c r="AL15" s="134"/>
      <c r="AM15" s="135"/>
      <c r="AN15" s="135"/>
      <c r="AO15" s="135"/>
      <c r="AP15" s="135"/>
      <c r="AQ15" s="135"/>
      <c r="AR15" s="135"/>
      <c r="AS15" s="135"/>
      <c r="AT15" s="136"/>
    </row>
    <row r="16" spans="1:46" s="120" customFormat="1">
      <c r="A16" s="153" t="s">
        <v>41</v>
      </c>
      <c r="B16" s="111">
        <f>[10]Compilation!$D$7</f>
        <v>4307404</v>
      </c>
      <c r="C16" s="112">
        <f>[10]Compilation!$E$7</f>
        <v>393445</v>
      </c>
      <c r="D16" s="109">
        <f>[10]Compilation!$F$7</f>
        <v>15507</v>
      </c>
      <c r="E16" s="110">
        <f t="shared" si="13"/>
        <v>25.37</v>
      </c>
      <c r="F16" s="111">
        <f>[10]Compilation!$D$9</f>
        <v>257765</v>
      </c>
      <c r="G16" s="112">
        <f>[10]Compilation!$E$9</f>
        <v>129575</v>
      </c>
      <c r="H16" s="109">
        <f>[10]Compilation!$F$9</f>
        <v>9766</v>
      </c>
      <c r="I16" s="110">
        <f t="shared" si="0"/>
        <v>13.27</v>
      </c>
      <c r="J16" s="111"/>
      <c r="K16" s="112"/>
      <c r="L16" s="109"/>
      <c r="M16" s="113" t="str">
        <f t="shared" si="1"/>
        <v/>
      </c>
      <c r="N16" s="114"/>
      <c r="O16" s="111"/>
      <c r="P16" s="112"/>
      <c r="Q16" s="109"/>
      <c r="R16" s="110" t="str">
        <f t="shared" si="2"/>
        <v/>
      </c>
      <c r="S16" s="111">
        <f>[10]Compilation!$D$17</f>
        <v>3590</v>
      </c>
      <c r="T16" s="112">
        <f>[10]Compilation!$E$17</f>
        <v>2790</v>
      </c>
      <c r="U16" s="109">
        <f>[10]Compilation!$F$17</f>
        <v>93</v>
      </c>
      <c r="V16" s="110">
        <f t="shared" si="3"/>
        <v>30</v>
      </c>
      <c r="W16" s="111"/>
      <c r="X16" s="112"/>
      <c r="Y16" s="109"/>
      <c r="Z16" s="110" t="str">
        <f t="shared" si="4"/>
        <v/>
      </c>
      <c r="AA16" s="111"/>
      <c r="AB16" s="112"/>
      <c r="AC16" s="109"/>
      <c r="AD16" s="110" t="str">
        <f t="shared" si="5"/>
        <v/>
      </c>
      <c r="AE16" s="144">
        <f t="shared" si="6"/>
        <v>525810</v>
      </c>
      <c r="AF16" s="115">
        <f t="shared" si="7"/>
        <v>25366</v>
      </c>
      <c r="AG16" s="116">
        <f t="shared" si="8"/>
        <v>20.73</v>
      </c>
      <c r="AH16" s="143">
        <f>'[10]Info gén.'!$D$31</f>
        <v>26668</v>
      </c>
      <c r="AI16" s="117">
        <f t="shared" si="9"/>
        <v>19.72</v>
      </c>
      <c r="AJ16" s="118">
        <f t="shared" si="10"/>
        <v>0.95</v>
      </c>
      <c r="AK16" s="119">
        <f t="shared" ref="AK16:AK26" si="14">IF(AJ16=0,"-",AJ16/AJ$29)</f>
        <v>0.73640000000000005</v>
      </c>
      <c r="AL16" s="134">
        <v>6</v>
      </c>
      <c r="AM16" s="135">
        <v>3</v>
      </c>
      <c r="AN16" s="135">
        <v>0</v>
      </c>
      <c r="AO16" s="135">
        <v>0</v>
      </c>
      <c r="AP16" s="135">
        <v>0</v>
      </c>
      <c r="AQ16" s="135">
        <v>1</v>
      </c>
      <c r="AR16" s="135">
        <v>0</v>
      </c>
      <c r="AS16" s="135">
        <v>0</v>
      </c>
      <c r="AT16" s="136">
        <f t="shared" si="12"/>
        <v>10</v>
      </c>
    </row>
    <row r="17" spans="1:46" s="120" customFormat="1">
      <c r="A17" s="153" t="s">
        <v>42</v>
      </c>
      <c r="B17" s="111">
        <f>[11]Compilation!$D$7</f>
        <v>19466653</v>
      </c>
      <c r="C17" s="152">
        <f>[11]Compilation!$E$7</f>
        <v>1654695</v>
      </c>
      <c r="D17" s="109">
        <f>[11]Compilation!$F$7</f>
        <v>70078</v>
      </c>
      <c r="E17" s="110">
        <f t="shared" si="13"/>
        <v>23.61</v>
      </c>
      <c r="F17" s="111">
        <f>[11]Compilation!$D$9</f>
        <v>579453</v>
      </c>
      <c r="G17" s="152">
        <f>[11]Compilation!$E$9</f>
        <v>263053</v>
      </c>
      <c r="H17" s="109">
        <f>[11]Compilation!$F$9</f>
        <v>21956</v>
      </c>
      <c r="I17" s="110">
        <f t="shared" si="0"/>
        <v>11.98</v>
      </c>
      <c r="J17" s="111"/>
      <c r="K17" s="112"/>
      <c r="L17" s="109"/>
      <c r="M17" s="113" t="str">
        <f t="shared" si="1"/>
        <v/>
      </c>
      <c r="N17" s="114"/>
      <c r="O17" s="111"/>
      <c r="P17" s="112"/>
      <c r="Q17" s="109"/>
      <c r="R17" s="110" t="str">
        <f t="shared" si="2"/>
        <v/>
      </c>
      <c r="S17" s="111"/>
      <c r="T17" s="112"/>
      <c r="U17" s="109"/>
      <c r="V17" s="110" t="str">
        <f t="shared" si="3"/>
        <v/>
      </c>
      <c r="W17" s="111">
        <f>[11]Compilation!$D$19</f>
        <v>3248340</v>
      </c>
      <c r="X17" s="152">
        <f>[11]Compilation!$E$19</f>
        <v>129313</v>
      </c>
      <c r="Y17" s="109">
        <f>[11]Compilation!$F$19</f>
        <v>4905</v>
      </c>
      <c r="Z17" s="110">
        <f t="shared" si="4"/>
        <v>26.36</v>
      </c>
      <c r="AA17" s="111">
        <f>[11]Compilation!$D$21</f>
        <v>6336</v>
      </c>
      <c r="AB17" s="152">
        <f>[11]Compilation!$E$21</f>
        <v>6678</v>
      </c>
      <c r="AC17" s="109">
        <f>[11]Compilation!$F$21</f>
        <v>212</v>
      </c>
      <c r="AD17" s="110">
        <f t="shared" si="5"/>
        <v>31.5</v>
      </c>
      <c r="AE17" s="144">
        <f t="shared" si="6"/>
        <v>2053739</v>
      </c>
      <c r="AF17" s="115">
        <f t="shared" si="7"/>
        <v>97151</v>
      </c>
      <c r="AG17" s="116">
        <f t="shared" si="8"/>
        <v>21.14</v>
      </c>
      <c r="AH17" s="143">
        <v>86036</v>
      </c>
      <c r="AI17" s="117">
        <f t="shared" si="9"/>
        <v>23.87</v>
      </c>
      <c r="AJ17" s="118">
        <f t="shared" si="10"/>
        <v>1.1299999999999999</v>
      </c>
      <c r="AK17" s="119">
        <f>IF(AJ17=0,"-",AJ17/AJ$29)</f>
        <v>0.876</v>
      </c>
      <c r="AL17" s="134">
        <v>5</v>
      </c>
      <c r="AM17" s="135">
        <v>8</v>
      </c>
      <c r="AN17" s="135">
        <v>0</v>
      </c>
      <c r="AO17" s="135">
        <v>0</v>
      </c>
      <c r="AP17" s="135">
        <v>0</v>
      </c>
      <c r="AQ17" s="135" t="s">
        <v>75</v>
      </c>
      <c r="AR17" s="135">
        <v>4</v>
      </c>
      <c r="AS17" s="135">
        <v>0</v>
      </c>
      <c r="AT17" s="136">
        <f t="shared" si="12"/>
        <v>17</v>
      </c>
    </row>
    <row r="18" spans="1:46" s="189" customFormat="1">
      <c r="A18" s="190" t="s">
        <v>43</v>
      </c>
      <c r="B18" s="173">
        <f>[12]Compilation!$D$7</f>
        <v>104995608</v>
      </c>
      <c r="C18" s="191">
        <f>[12]Compilation!$E$7</f>
        <v>7327426</v>
      </c>
      <c r="D18" s="175">
        <f>[12]Compilation!$F$7</f>
        <v>377983</v>
      </c>
      <c r="E18" s="176">
        <f t="shared" si="13"/>
        <v>19.39</v>
      </c>
      <c r="F18" s="173">
        <f>[12]Compilation!$D$9</f>
        <v>2459034</v>
      </c>
      <c r="G18" s="191">
        <f>[12]Compilation!$E$9</f>
        <v>1090852</v>
      </c>
      <c r="H18" s="175">
        <f>[12]Compilation!$F$9</f>
        <v>93173</v>
      </c>
      <c r="I18" s="176">
        <f t="shared" si="0"/>
        <v>11.71</v>
      </c>
      <c r="J18" s="173">
        <f>[12]Compilation!$D$11</f>
        <v>6130</v>
      </c>
      <c r="K18" s="191">
        <f>[12]Compilation!$E$11</f>
        <v>5543</v>
      </c>
      <c r="L18" s="175">
        <f>[12]Compilation!$F$11</f>
        <v>238</v>
      </c>
      <c r="M18" s="177">
        <f t="shared" si="1"/>
        <v>23.29</v>
      </c>
      <c r="N18" s="178" t="s">
        <v>28</v>
      </c>
      <c r="O18" s="173"/>
      <c r="P18" s="174"/>
      <c r="Q18" s="175"/>
      <c r="R18" s="176" t="str">
        <f t="shared" si="2"/>
        <v/>
      </c>
      <c r="S18" s="173"/>
      <c r="T18" s="174"/>
      <c r="U18" s="175"/>
      <c r="V18" s="176" t="str">
        <f t="shared" si="3"/>
        <v/>
      </c>
      <c r="W18" s="173"/>
      <c r="X18" s="174"/>
      <c r="Y18" s="175"/>
      <c r="Z18" s="176" t="str">
        <f t="shared" si="4"/>
        <v/>
      </c>
      <c r="AA18" s="173">
        <f>[12]Compilation!$D$21</f>
        <v>3245</v>
      </c>
      <c r="AB18" s="191">
        <f>[12]Compilation!$E$21</f>
        <v>3436</v>
      </c>
      <c r="AC18" s="175">
        <f>[12]Compilation!$F$21</f>
        <v>126</v>
      </c>
      <c r="AD18" s="176">
        <f t="shared" si="5"/>
        <v>27.27</v>
      </c>
      <c r="AE18" s="179">
        <f t="shared" si="6"/>
        <v>8427257</v>
      </c>
      <c r="AF18" s="180">
        <f t="shared" si="7"/>
        <v>471520</v>
      </c>
      <c r="AG18" s="181">
        <f t="shared" si="8"/>
        <v>17.87</v>
      </c>
      <c r="AH18" s="182">
        <v>420279</v>
      </c>
      <c r="AI18" s="183">
        <f t="shared" si="9"/>
        <v>20.05</v>
      </c>
      <c r="AJ18" s="184">
        <f t="shared" si="10"/>
        <v>1.1200000000000001</v>
      </c>
      <c r="AK18" s="185">
        <f t="shared" si="14"/>
        <v>0.86819999999999997</v>
      </c>
      <c r="AL18" s="186">
        <v>21</v>
      </c>
      <c r="AM18" s="187">
        <v>8</v>
      </c>
      <c r="AN18" s="187">
        <v>2</v>
      </c>
      <c r="AO18" s="187">
        <v>0</v>
      </c>
      <c r="AP18" s="187">
        <v>0</v>
      </c>
      <c r="AQ18" s="187">
        <v>1</v>
      </c>
      <c r="AR18" s="187">
        <v>0</v>
      </c>
      <c r="AS18" s="187">
        <v>0</v>
      </c>
      <c r="AT18" s="188">
        <f t="shared" si="12"/>
        <v>32</v>
      </c>
    </row>
    <row r="19" spans="1:46" s="120" customFormat="1">
      <c r="A19" s="153" t="s">
        <v>68</v>
      </c>
      <c r="B19" s="111">
        <f>[13]Compilation!$D$7</f>
        <v>9005825</v>
      </c>
      <c r="C19" s="112">
        <f>[13]Compilation!$E$7</f>
        <v>824909</v>
      </c>
      <c r="D19" s="109">
        <f>[13]Compilation!$F$7</f>
        <v>32421</v>
      </c>
      <c r="E19" s="110">
        <f>IF(OR(C19=0,D19=0),"",C19/D19)</f>
        <v>25.44</v>
      </c>
      <c r="F19" s="111">
        <f>[13]Compilation!$D$9</f>
        <v>130683</v>
      </c>
      <c r="G19" s="112">
        <f>[13]Compilation!$E$9</f>
        <v>51890</v>
      </c>
      <c r="H19" s="109">
        <f>[13]Compilation!$F$9</f>
        <v>4952</v>
      </c>
      <c r="I19" s="110">
        <f>IF(OR(G19=0,H19=0),"",G19/H19)</f>
        <v>10.48</v>
      </c>
      <c r="J19" s="111"/>
      <c r="K19" s="112"/>
      <c r="L19" s="109"/>
      <c r="M19" s="113" t="str">
        <f>IF(OR(K19=0,L19=0),"",K19/L19)</f>
        <v/>
      </c>
      <c r="N19" s="114"/>
      <c r="O19" s="111"/>
      <c r="P19" s="112"/>
      <c r="Q19" s="109"/>
      <c r="R19" s="110" t="str">
        <f>IF(OR(P19=0,Q19=0),"",P19/Q19)</f>
        <v/>
      </c>
      <c r="S19" s="111"/>
      <c r="T19" s="112"/>
      <c r="U19" s="109"/>
      <c r="V19" s="110" t="str">
        <f>IF(OR(T19=0,U19=0),"",T19/U19)</f>
        <v/>
      </c>
      <c r="W19" s="111"/>
      <c r="X19" s="112"/>
      <c r="Y19" s="109"/>
      <c r="Z19" s="110" t="str">
        <f>IF(OR(X19=0,Y19=0),"",X19/Y19)</f>
        <v/>
      </c>
      <c r="AA19" s="111"/>
      <c r="AB19" s="112"/>
      <c r="AC19" s="109"/>
      <c r="AD19" s="110" t="str">
        <f>IF(OR(AB19=0,AC19=0),"",AB19/AC19)</f>
        <v/>
      </c>
      <c r="AE19" s="144">
        <f>C19+G19+K19+P19+T19+X19+AB19</f>
        <v>876799</v>
      </c>
      <c r="AF19" s="115">
        <f>D19+H19+L19+Q19+U19+Y19+AC19</f>
        <v>37373</v>
      </c>
      <c r="AG19" s="116">
        <f>IF(AE19=0,"",AE19/AF19)</f>
        <v>23.46</v>
      </c>
      <c r="AH19" s="143">
        <f>'[13]Info gén.'!$D$31</f>
        <v>59945</v>
      </c>
      <c r="AI19" s="117">
        <f>AE19/AH19</f>
        <v>14.63</v>
      </c>
      <c r="AJ19" s="118">
        <f>(AF19/AH19)</f>
        <v>0.62</v>
      </c>
      <c r="AK19" s="119">
        <f t="shared" si="14"/>
        <v>0.48060000000000003</v>
      </c>
      <c r="AL19" s="134">
        <v>9</v>
      </c>
      <c r="AM19" s="135">
        <v>3</v>
      </c>
      <c r="AN19" s="135">
        <v>0</v>
      </c>
      <c r="AO19" s="135">
        <v>0</v>
      </c>
      <c r="AP19" s="135">
        <v>0</v>
      </c>
      <c r="AQ19" s="135" t="s">
        <v>75</v>
      </c>
      <c r="AR19" s="135">
        <v>0</v>
      </c>
      <c r="AS19" s="135">
        <v>0</v>
      </c>
      <c r="AT19" s="136">
        <f>SUM(AL19,AM19,AN19,AO19,AP19,AQ19,AR19,AS19)</f>
        <v>12</v>
      </c>
    </row>
    <row r="20" spans="1:46" s="120" customFormat="1">
      <c r="A20" s="153" t="s">
        <v>44</v>
      </c>
      <c r="B20" s="111">
        <f>[14]Compilation!$D$7</f>
        <v>12492210</v>
      </c>
      <c r="C20" s="112">
        <f>[14]Compilation!$E$7</f>
        <v>1060953</v>
      </c>
      <c r="D20" s="109">
        <f>[14]Compilation!$F$7</f>
        <v>44972</v>
      </c>
      <c r="E20" s="110">
        <f t="shared" si="13"/>
        <v>23.59</v>
      </c>
      <c r="F20" s="111"/>
      <c r="G20" s="112"/>
      <c r="H20" s="109"/>
      <c r="I20" s="110" t="str">
        <f t="shared" si="0"/>
        <v/>
      </c>
      <c r="J20" s="111">
        <f>[14]Compilation!$D$11</f>
        <v>113143</v>
      </c>
      <c r="K20" s="112">
        <f>[14]Compilation!$E$11</f>
        <v>90012</v>
      </c>
      <c r="L20" s="109">
        <f>[14]Compilation!$F$11</f>
        <v>4390</v>
      </c>
      <c r="M20" s="113">
        <f t="shared" si="1"/>
        <v>20.5</v>
      </c>
      <c r="N20" s="114"/>
      <c r="O20" s="111"/>
      <c r="P20" s="112"/>
      <c r="Q20" s="109"/>
      <c r="R20" s="110" t="str">
        <f t="shared" si="2"/>
        <v/>
      </c>
      <c r="S20" s="111"/>
      <c r="T20" s="112"/>
      <c r="U20" s="109"/>
      <c r="V20" s="110" t="str">
        <f t="shared" si="3"/>
        <v/>
      </c>
      <c r="W20" s="111"/>
      <c r="X20" s="112"/>
      <c r="Y20" s="109"/>
      <c r="Z20" s="110" t="str">
        <f t="shared" si="4"/>
        <v/>
      </c>
      <c r="AA20" s="111">
        <f>[14]Compilation!$D$21</f>
        <v>2481</v>
      </c>
      <c r="AB20" s="112">
        <f>[14]Compilation!$E$21</f>
        <v>2279</v>
      </c>
      <c r="AC20" s="109">
        <f>[14]Compilation!$F$21</f>
        <v>96</v>
      </c>
      <c r="AD20" s="110">
        <f t="shared" si="5"/>
        <v>23.74</v>
      </c>
      <c r="AE20" s="144">
        <f t="shared" si="6"/>
        <v>1153244</v>
      </c>
      <c r="AF20" s="115">
        <f t="shared" si="7"/>
        <v>49458</v>
      </c>
      <c r="AG20" s="116">
        <f t="shared" si="8"/>
        <v>23.32</v>
      </c>
      <c r="AH20" s="143">
        <f>'[14]Info gén.'!$D$31</f>
        <v>56605</v>
      </c>
      <c r="AI20" s="117">
        <f t="shared" si="9"/>
        <v>20.37</v>
      </c>
      <c r="AJ20" s="118">
        <f t="shared" si="10"/>
        <v>0.87</v>
      </c>
      <c r="AK20" s="119">
        <f t="shared" si="14"/>
        <v>0.6744</v>
      </c>
      <c r="AL20" s="134">
        <v>14</v>
      </c>
      <c r="AM20" s="135">
        <v>0</v>
      </c>
      <c r="AN20" s="135">
        <v>0</v>
      </c>
      <c r="AO20" s="135">
        <v>0</v>
      </c>
      <c r="AP20" s="135">
        <v>0</v>
      </c>
      <c r="AQ20" s="135" t="s">
        <v>75</v>
      </c>
      <c r="AR20" s="135">
        <v>0</v>
      </c>
      <c r="AS20" s="135">
        <v>0</v>
      </c>
      <c r="AT20" s="136">
        <f t="shared" si="12"/>
        <v>14</v>
      </c>
    </row>
    <row r="21" spans="1:46" s="120" customFormat="1">
      <c r="A21" s="153" t="s">
        <v>45</v>
      </c>
      <c r="B21" s="111">
        <f>[15]Compilation!$D$7</f>
        <v>28655272</v>
      </c>
      <c r="C21" s="152">
        <f>[15]Compilation!$E$7</f>
        <v>1941545</v>
      </c>
      <c r="D21" s="109">
        <f>[15]Compilation!$F$7</f>
        <v>103159</v>
      </c>
      <c r="E21" s="110">
        <f t="shared" ref="E21:E26" si="15">IF(OR(C21=0,D21=0),"",C21/D21)</f>
        <v>18.82</v>
      </c>
      <c r="F21" s="111">
        <f>[15]Compilation!$D$9</f>
        <v>404627</v>
      </c>
      <c r="G21" s="152">
        <f>[15]Compilation!$E$9</f>
        <v>181638</v>
      </c>
      <c r="H21" s="109">
        <f>[15]Compilation!$F$9</f>
        <v>15331</v>
      </c>
      <c r="I21" s="110">
        <f t="shared" ref="I21:I26" si="16">IF(OR(G21=0,H21=0),"",G21/H21)</f>
        <v>11.85</v>
      </c>
      <c r="J21" s="111"/>
      <c r="K21" s="112"/>
      <c r="L21" s="109"/>
      <c r="M21" s="113" t="str">
        <f t="shared" ref="M21:M26" si="17">IF(OR(K21=0,L21=0),"",K21/L21)</f>
        <v/>
      </c>
      <c r="N21" s="114" t="s">
        <v>28</v>
      </c>
      <c r="O21" s="111"/>
      <c r="P21" s="112"/>
      <c r="Q21" s="109"/>
      <c r="R21" s="110" t="str">
        <f t="shared" ref="R21:R26" si="18">IF(OR(P21=0,Q21=0),"",P21/Q21)</f>
        <v/>
      </c>
      <c r="S21" s="111"/>
      <c r="T21" s="112"/>
      <c r="U21" s="109"/>
      <c r="V21" s="110" t="str">
        <f t="shared" ref="V21:V26" si="19">IF(OR(T21=0,U21=0),"",T21/U21)</f>
        <v/>
      </c>
      <c r="W21" s="111"/>
      <c r="X21" s="112"/>
      <c r="Y21" s="109"/>
      <c r="Z21" s="110" t="str">
        <f t="shared" ref="Z21:Z26" si="20">IF(OR(X21=0,Y21=0),"",X21/Y21)</f>
        <v/>
      </c>
      <c r="AA21" s="111"/>
      <c r="AB21" s="112"/>
      <c r="AC21" s="109"/>
      <c r="AD21" s="110" t="str">
        <f t="shared" ref="AD21:AD26" si="21">IF(OR(AB21=0,AC21=0),"",AB21/AC21)</f>
        <v/>
      </c>
      <c r="AE21" s="144">
        <f t="shared" ref="AE21:AF26" si="22">C21+G21+K21+P21+T21+X21+AB21</f>
        <v>2123183</v>
      </c>
      <c r="AF21" s="115">
        <f t="shared" si="22"/>
        <v>118490</v>
      </c>
      <c r="AG21" s="116">
        <f t="shared" ref="AG21:AG26" si="23">IF(AE21=0,"",AE21/AF21)</f>
        <v>17.920000000000002</v>
      </c>
      <c r="AH21" s="143">
        <v>122795</v>
      </c>
      <c r="AI21" s="117">
        <f t="shared" ref="AI21:AI26" si="24">AE21/AH21</f>
        <v>17.29</v>
      </c>
      <c r="AJ21" s="118">
        <f t="shared" ref="AJ21:AJ26" si="25">(AF21/AH21)</f>
        <v>0.96</v>
      </c>
      <c r="AK21" s="119">
        <f t="shared" si="14"/>
        <v>0.74419999999999997</v>
      </c>
      <c r="AL21" s="134">
        <v>20</v>
      </c>
      <c r="AM21" s="135">
        <v>0</v>
      </c>
      <c r="AN21" s="135">
        <v>0</v>
      </c>
      <c r="AO21" s="135">
        <v>0</v>
      </c>
      <c r="AP21" s="135">
        <v>0</v>
      </c>
      <c r="AQ21" s="135" t="s">
        <v>75</v>
      </c>
      <c r="AR21" s="135">
        <v>0</v>
      </c>
      <c r="AS21" s="135">
        <v>0</v>
      </c>
      <c r="AT21" s="136">
        <f t="shared" ref="AT21:AT26" si="26">SUM(AL21,AM21,AN21,AO21,AP21,AQ21,AR21,AS21)</f>
        <v>20</v>
      </c>
    </row>
    <row r="22" spans="1:46" s="120" customFormat="1">
      <c r="A22" s="153" t="s">
        <v>71</v>
      </c>
      <c r="B22" s="111">
        <f>[16]Compilation!$D$7</f>
        <v>41670660</v>
      </c>
      <c r="C22" s="152">
        <f>[16]Compilation!$E$7</f>
        <v>3356915</v>
      </c>
      <c r="D22" s="109">
        <f>[16]Compilation!$F$7</f>
        <v>150014</v>
      </c>
      <c r="E22" s="110">
        <f t="shared" si="15"/>
        <v>22.38</v>
      </c>
      <c r="F22" s="111">
        <f>[16]Compilation!$D$9</f>
        <v>4156478</v>
      </c>
      <c r="G22" s="152">
        <f>[16]Compilation!$E$9</f>
        <v>1599510</v>
      </c>
      <c r="H22" s="109">
        <f>[16]Compilation!$F$9</f>
        <v>157489</v>
      </c>
      <c r="I22" s="110">
        <f t="shared" si="16"/>
        <v>10.16</v>
      </c>
      <c r="J22" s="111"/>
      <c r="K22" s="112"/>
      <c r="L22" s="109"/>
      <c r="M22" s="113" t="str">
        <f t="shared" si="17"/>
        <v/>
      </c>
      <c r="N22" s="114" t="s">
        <v>28</v>
      </c>
      <c r="O22" s="111"/>
      <c r="P22" s="112"/>
      <c r="Q22" s="109"/>
      <c r="R22" s="110" t="str">
        <f t="shared" si="18"/>
        <v/>
      </c>
      <c r="S22" s="111"/>
      <c r="T22" s="112"/>
      <c r="U22" s="109"/>
      <c r="V22" s="110" t="str">
        <f t="shared" si="19"/>
        <v/>
      </c>
      <c r="W22" s="111"/>
      <c r="X22" s="112"/>
      <c r="Y22" s="109"/>
      <c r="Z22" s="110" t="str">
        <f t="shared" si="20"/>
        <v/>
      </c>
      <c r="AA22" s="111"/>
      <c r="AB22" s="112"/>
      <c r="AC22" s="109"/>
      <c r="AD22" s="110" t="str">
        <f t="shared" si="21"/>
        <v/>
      </c>
      <c r="AE22" s="144">
        <f t="shared" si="22"/>
        <v>4956425</v>
      </c>
      <c r="AF22" s="115">
        <f t="shared" si="22"/>
        <v>307503</v>
      </c>
      <c r="AG22" s="116">
        <f t="shared" si="23"/>
        <v>16.12</v>
      </c>
      <c r="AH22" s="143">
        <v>125955</v>
      </c>
      <c r="AI22" s="117">
        <f t="shared" si="24"/>
        <v>39.35</v>
      </c>
      <c r="AJ22" s="118">
        <f t="shared" si="25"/>
        <v>2.44</v>
      </c>
      <c r="AK22" s="119">
        <f t="shared" si="14"/>
        <v>1.8915</v>
      </c>
      <c r="AL22" s="134">
        <v>8</v>
      </c>
      <c r="AM22" s="135">
        <v>15</v>
      </c>
      <c r="AN22" s="135">
        <v>0</v>
      </c>
      <c r="AO22" s="135">
        <v>0</v>
      </c>
      <c r="AP22" s="135">
        <v>0</v>
      </c>
      <c r="AQ22" s="135" t="s">
        <v>75</v>
      </c>
      <c r="AR22" s="135">
        <v>0</v>
      </c>
      <c r="AS22" s="135">
        <v>0</v>
      </c>
      <c r="AT22" s="136">
        <f t="shared" si="26"/>
        <v>23</v>
      </c>
    </row>
    <row r="23" spans="1:46" s="120" customFormat="1">
      <c r="A23" s="153" t="s">
        <v>72</v>
      </c>
      <c r="B23" s="111">
        <f>[17]Compilation!$D$7</f>
        <v>1520082</v>
      </c>
      <c r="C23" s="112">
        <f>[17]Compilation!$E$7</f>
        <v>129345</v>
      </c>
      <c r="D23" s="109">
        <f>[17]Compilation!$F$7</f>
        <v>5472</v>
      </c>
      <c r="E23" s="110">
        <f t="shared" si="15"/>
        <v>23.64</v>
      </c>
      <c r="F23" s="111">
        <f>[17]Compilation!$D$9</f>
        <v>103179</v>
      </c>
      <c r="G23" s="112">
        <f>[17]Compilation!$E$9</f>
        <v>48345</v>
      </c>
      <c r="H23" s="109">
        <f>[17]Compilation!$F$9</f>
        <v>3909</v>
      </c>
      <c r="I23" s="110">
        <f t="shared" si="16"/>
        <v>12.37</v>
      </c>
      <c r="J23" s="111"/>
      <c r="K23" s="112"/>
      <c r="L23" s="109"/>
      <c r="M23" s="113" t="str">
        <f t="shared" si="17"/>
        <v/>
      </c>
      <c r="N23" s="114" t="s">
        <v>28</v>
      </c>
      <c r="O23" s="111"/>
      <c r="P23" s="112"/>
      <c r="Q23" s="109"/>
      <c r="R23" s="110" t="str">
        <f t="shared" si="18"/>
        <v/>
      </c>
      <c r="S23" s="111"/>
      <c r="T23" s="112"/>
      <c r="U23" s="109"/>
      <c r="V23" s="110" t="str">
        <f t="shared" si="19"/>
        <v/>
      </c>
      <c r="W23" s="111"/>
      <c r="X23" s="112"/>
      <c r="Y23" s="109"/>
      <c r="Z23" s="110" t="str">
        <f t="shared" si="20"/>
        <v/>
      </c>
      <c r="AA23" s="111"/>
      <c r="AB23" s="112"/>
      <c r="AC23" s="109"/>
      <c r="AD23" s="110" t="str">
        <f t="shared" si="21"/>
        <v/>
      </c>
      <c r="AE23" s="144">
        <f t="shared" si="22"/>
        <v>177690</v>
      </c>
      <c r="AF23" s="115">
        <f t="shared" si="22"/>
        <v>9381</v>
      </c>
      <c r="AG23" s="116">
        <f t="shared" si="23"/>
        <v>18.940000000000001</v>
      </c>
      <c r="AH23" s="143">
        <f>'[17]Info gén.'!$D$31</f>
        <v>11798</v>
      </c>
      <c r="AI23" s="117">
        <f t="shared" si="24"/>
        <v>15.06</v>
      </c>
      <c r="AJ23" s="118">
        <f t="shared" si="25"/>
        <v>0.8</v>
      </c>
      <c r="AK23" s="119">
        <f t="shared" si="14"/>
        <v>0.62019999999999997</v>
      </c>
      <c r="AL23" s="134">
        <v>1</v>
      </c>
      <c r="AM23" s="135">
        <v>1</v>
      </c>
      <c r="AN23" s="135">
        <v>0</v>
      </c>
      <c r="AO23" s="135">
        <v>0</v>
      </c>
      <c r="AP23" s="135">
        <v>0</v>
      </c>
      <c r="AQ23" s="135" t="s">
        <v>75</v>
      </c>
      <c r="AR23" s="135">
        <v>0</v>
      </c>
      <c r="AS23" s="135">
        <v>0</v>
      </c>
      <c r="AT23" s="136">
        <f t="shared" si="26"/>
        <v>2</v>
      </c>
    </row>
    <row r="24" spans="1:46" s="120" customFormat="1">
      <c r="A24" s="153" t="s">
        <v>46</v>
      </c>
      <c r="B24" s="111">
        <f>[18]Compilation!$D$7</f>
        <v>24643383</v>
      </c>
      <c r="C24" s="112">
        <f>[18]Compilation!$E$7</f>
        <v>1635860</v>
      </c>
      <c r="D24" s="109">
        <f>[18]Compilation!$F$7</f>
        <v>88717</v>
      </c>
      <c r="E24" s="110">
        <f t="shared" si="15"/>
        <v>18.440000000000001</v>
      </c>
      <c r="F24" s="111">
        <f>[18]Compilation!$D$9</f>
        <v>25359</v>
      </c>
      <c r="G24" s="112">
        <f>[18]Compilation!$E$9</f>
        <v>15464</v>
      </c>
      <c r="H24" s="109">
        <f>[18]Compilation!$F$9</f>
        <v>960</v>
      </c>
      <c r="I24" s="110">
        <f t="shared" si="16"/>
        <v>16.11</v>
      </c>
      <c r="J24" s="111"/>
      <c r="K24" s="112"/>
      <c r="L24" s="109"/>
      <c r="M24" s="113" t="str">
        <f t="shared" si="17"/>
        <v/>
      </c>
      <c r="N24" s="114" t="s">
        <v>28</v>
      </c>
      <c r="O24" s="111"/>
      <c r="P24" s="112"/>
      <c r="Q24" s="109"/>
      <c r="R24" s="110" t="str">
        <f t="shared" si="18"/>
        <v/>
      </c>
      <c r="S24" s="111"/>
      <c r="T24" s="112"/>
      <c r="U24" s="109"/>
      <c r="V24" s="110" t="str">
        <f t="shared" si="19"/>
        <v/>
      </c>
      <c r="W24" s="111">
        <f>[18]Compilation!$D$19</f>
        <v>21922357</v>
      </c>
      <c r="X24" s="112">
        <f>[18]Compilation!$E$19</f>
        <v>772393</v>
      </c>
      <c r="Y24" s="109">
        <f>[18]Compilation!$F$19</f>
        <v>33102</v>
      </c>
      <c r="Z24" s="110">
        <f t="shared" si="20"/>
        <v>23.33</v>
      </c>
      <c r="AA24" s="111"/>
      <c r="AB24" s="112"/>
      <c r="AC24" s="109"/>
      <c r="AD24" s="110" t="str">
        <f t="shared" si="21"/>
        <v/>
      </c>
      <c r="AE24" s="144">
        <f t="shared" si="22"/>
        <v>2423717</v>
      </c>
      <c r="AF24" s="115">
        <f t="shared" si="22"/>
        <v>122779</v>
      </c>
      <c r="AG24" s="116">
        <f t="shared" si="23"/>
        <v>19.739999999999998</v>
      </c>
      <c r="AH24" s="143">
        <f>'[18]Info gén.'!$D$31</f>
        <v>207948</v>
      </c>
      <c r="AI24" s="117">
        <f t="shared" si="24"/>
        <v>11.66</v>
      </c>
      <c r="AJ24" s="118">
        <f t="shared" si="25"/>
        <v>0.59</v>
      </c>
      <c r="AK24" s="119">
        <f t="shared" si="14"/>
        <v>0.45739999999999997</v>
      </c>
      <c r="AL24" s="134">
        <v>4</v>
      </c>
      <c r="AM24" s="135">
        <v>1</v>
      </c>
      <c r="AN24" s="135">
        <v>0</v>
      </c>
      <c r="AO24" s="135">
        <v>0</v>
      </c>
      <c r="AP24" s="135">
        <v>0</v>
      </c>
      <c r="AQ24" s="135">
        <v>0</v>
      </c>
      <c r="AR24" s="135">
        <v>6</v>
      </c>
      <c r="AS24" s="135">
        <v>0</v>
      </c>
      <c r="AT24" s="136">
        <f t="shared" si="26"/>
        <v>11</v>
      </c>
    </row>
    <row r="25" spans="1:46" s="120" customFormat="1">
      <c r="A25" s="153" t="s">
        <v>73</v>
      </c>
      <c r="B25" s="111">
        <f>[19]Compilation!$D$7</f>
        <v>1590562</v>
      </c>
      <c r="C25" s="112">
        <f>[19]Compilation!$E$7</f>
        <v>135932</v>
      </c>
      <c r="D25" s="109">
        <f>[19]Compilation!$F$7</f>
        <v>5726</v>
      </c>
      <c r="E25" s="110">
        <f t="shared" si="15"/>
        <v>23.74</v>
      </c>
      <c r="F25" s="111">
        <f>[19]Compilation!$D$9</f>
        <v>106099</v>
      </c>
      <c r="G25" s="112">
        <f>[19]Compilation!$E$9</f>
        <v>49241</v>
      </c>
      <c r="H25" s="109">
        <f>[19]Compilation!$F$9</f>
        <v>4020</v>
      </c>
      <c r="I25" s="110">
        <f t="shared" si="16"/>
        <v>12.25</v>
      </c>
      <c r="J25" s="111"/>
      <c r="K25" s="112"/>
      <c r="L25" s="109"/>
      <c r="M25" s="113" t="str">
        <f t="shared" si="17"/>
        <v/>
      </c>
      <c r="N25" s="114" t="s">
        <v>28</v>
      </c>
      <c r="O25" s="111"/>
      <c r="P25" s="112"/>
      <c r="Q25" s="109"/>
      <c r="R25" s="110" t="str">
        <f t="shared" si="18"/>
        <v/>
      </c>
      <c r="S25" s="111"/>
      <c r="T25" s="112"/>
      <c r="U25" s="109"/>
      <c r="V25" s="110" t="str">
        <f t="shared" si="19"/>
        <v/>
      </c>
      <c r="W25" s="111"/>
      <c r="X25" s="112"/>
      <c r="Y25" s="109"/>
      <c r="Z25" s="110" t="str">
        <f t="shared" si="20"/>
        <v/>
      </c>
      <c r="AA25" s="111"/>
      <c r="AB25" s="112"/>
      <c r="AC25" s="109"/>
      <c r="AD25" s="110" t="str">
        <f t="shared" si="21"/>
        <v/>
      </c>
      <c r="AE25" s="144">
        <f t="shared" si="22"/>
        <v>185173</v>
      </c>
      <c r="AF25" s="115">
        <f t="shared" si="22"/>
        <v>9746</v>
      </c>
      <c r="AG25" s="116">
        <f t="shared" si="23"/>
        <v>19</v>
      </c>
      <c r="AH25" s="143">
        <f>'[19]Info gén.'!$D$31</f>
        <v>7684</v>
      </c>
      <c r="AI25" s="117">
        <f t="shared" si="24"/>
        <v>24.1</v>
      </c>
      <c r="AJ25" s="118">
        <f t="shared" si="25"/>
        <v>1.27</v>
      </c>
      <c r="AK25" s="119">
        <f t="shared" si="14"/>
        <v>0.98450000000000004</v>
      </c>
      <c r="AL25" s="134">
        <v>1</v>
      </c>
      <c r="AM25" s="135">
        <v>0</v>
      </c>
      <c r="AN25" s="135">
        <v>0</v>
      </c>
      <c r="AO25" s="135">
        <v>0</v>
      </c>
      <c r="AP25" s="135">
        <v>0</v>
      </c>
      <c r="AQ25" s="135" t="s">
        <v>75</v>
      </c>
      <c r="AR25" s="135">
        <v>0</v>
      </c>
      <c r="AS25" s="135">
        <v>0</v>
      </c>
      <c r="AT25" s="136">
        <f t="shared" si="26"/>
        <v>1</v>
      </c>
    </row>
    <row r="26" spans="1:46" s="120" customFormat="1">
      <c r="A26" s="153" t="s">
        <v>47</v>
      </c>
      <c r="B26" s="111">
        <f>[20]Compilation!$D$7</f>
        <v>12667730</v>
      </c>
      <c r="C26" s="112">
        <f>[20]Compilation!$E$7</f>
        <v>1040023</v>
      </c>
      <c r="D26" s="109">
        <f>[20]Compilation!$F$7</f>
        <v>45604</v>
      </c>
      <c r="E26" s="110">
        <f t="shared" si="15"/>
        <v>22.81</v>
      </c>
      <c r="F26" s="111">
        <f>[20]Compilation!$D$9</f>
        <v>314265</v>
      </c>
      <c r="G26" s="112">
        <f>[20]Compilation!$E$9</f>
        <v>154227</v>
      </c>
      <c r="H26" s="109">
        <f>[20]Compilation!$F$9</f>
        <v>11909</v>
      </c>
      <c r="I26" s="110">
        <f t="shared" si="16"/>
        <v>12.95</v>
      </c>
      <c r="J26" s="111"/>
      <c r="K26" s="112"/>
      <c r="L26" s="109"/>
      <c r="M26" s="113" t="str">
        <f t="shared" si="17"/>
        <v/>
      </c>
      <c r="N26" s="114" t="s">
        <v>28</v>
      </c>
      <c r="O26" s="111"/>
      <c r="P26" s="112"/>
      <c r="Q26" s="109"/>
      <c r="R26" s="110" t="str">
        <f t="shared" si="18"/>
        <v/>
      </c>
      <c r="S26" s="111"/>
      <c r="T26" s="112"/>
      <c r="U26" s="109"/>
      <c r="V26" s="110" t="str">
        <f t="shared" si="19"/>
        <v/>
      </c>
      <c r="W26" s="111"/>
      <c r="X26" s="112"/>
      <c r="Y26" s="109"/>
      <c r="Z26" s="110" t="str">
        <f t="shared" si="20"/>
        <v/>
      </c>
      <c r="AA26" s="111"/>
      <c r="AB26" s="112"/>
      <c r="AC26" s="109"/>
      <c r="AD26" s="110" t="str">
        <f t="shared" si="21"/>
        <v/>
      </c>
      <c r="AE26" s="144">
        <f t="shared" si="22"/>
        <v>1194250</v>
      </c>
      <c r="AF26" s="115">
        <f t="shared" si="22"/>
        <v>57513</v>
      </c>
      <c r="AG26" s="116">
        <f t="shared" si="23"/>
        <v>20.76</v>
      </c>
      <c r="AH26" s="143">
        <f>'[20]Info gén.'!$D$31</f>
        <v>91386</v>
      </c>
      <c r="AI26" s="117">
        <f t="shared" si="24"/>
        <v>13.07</v>
      </c>
      <c r="AJ26" s="118">
        <f t="shared" si="25"/>
        <v>0.63</v>
      </c>
      <c r="AK26" s="119">
        <f t="shared" si="14"/>
        <v>0.4884</v>
      </c>
      <c r="AL26" s="134">
        <v>11</v>
      </c>
      <c r="AM26" s="135" t="e">
        <v>#REF!</v>
      </c>
      <c r="AN26" s="135" t="e">
        <v>#REF!</v>
      </c>
      <c r="AO26" s="135" t="e">
        <v>#REF!</v>
      </c>
      <c r="AP26" s="135" t="e">
        <v>#REF!</v>
      </c>
      <c r="AQ26" s="135">
        <v>0</v>
      </c>
      <c r="AR26" s="135" t="e">
        <v>#REF!</v>
      </c>
      <c r="AS26" s="135" t="e">
        <v>#REF!</v>
      </c>
      <c r="AT26" s="136" t="e">
        <f t="shared" si="26"/>
        <v>#REF!</v>
      </c>
    </row>
    <row r="27" spans="1:46">
      <c r="A27" s="148"/>
      <c r="B27" s="150"/>
      <c r="C27" s="45"/>
      <c r="D27" s="43"/>
      <c r="E27" s="46"/>
      <c r="F27" s="42"/>
      <c r="G27" s="45"/>
      <c r="H27" s="43"/>
      <c r="I27" s="46"/>
      <c r="J27" s="42"/>
      <c r="K27" s="45"/>
      <c r="L27" s="43"/>
      <c r="M27" s="43"/>
      <c r="N27" s="44"/>
      <c r="O27" s="42"/>
      <c r="P27" s="45"/>
      <c r="Q27" s="43"/>
      <c r="R27" s="46"/>
      <c r="S27" s="42"/>
      <c r="T27" s="45"/>
      <c r="U27" s="43"/>
      <c r="V27" s="46"/>
      <c r="W27" s="42"/>
      <c r="X27" s="45"/>
      <c r="Y27" s="43"/>
      <c r="Z27" s="46"/>
      <c r="AA27" s="42"/>
      <c r="AB27" s="45"/>
      <c r="AC27" s="43"/>
      <c r="AD27" s="46"/>
      <c r="AE27" s="81"/>
      <c r="AF27" s="82"/>
      <c r="AG27" s="83"/>
      <c r="AH27" s="84"/>
      <c r="AI27" s="85"/>
      <c r="AJ27" s="86"/>
      <c r="AK27" s="92"/>
      <c r="AL27" s="137"/>
      <c r="AM27" s="138"/>
      <c r="AN27" s="138"/>
      <c r="AO27" s="138"/>
      <c r="AP27" s="138"/>
      <c r="AQ27" s="138"/>
      <c r="AR27" s="138"/>
      <c r="AS27" s="138"/>
      <c r="AT27" s="139"/>
    </row>
    <row r="28" spans="1:46">
      <c r="A28" s="74"/>
      <c r="B28" s="20"/>
      <c r="C28" s="20"/>
      <c r="D28" s="20"/>
      <c r="E28" s="21"/>
      <c r="F28" s="20"/>
      <c r="G28" s="20"/>
      <c r="H28" s="20"/>
      <c r="I28" s="21"/>
      <c r="J28" s="20"/>
      <c r="K28" s="20"/>
      <c r="L28" s="20"/>
      <c r="M28" s="59"/>
      <c r="N28" s="33"/>
      <c r="O28" s="20"/>
      <c r="P28" s="20"/>
      <c r="Q28" s="20"/>
      <c r="R28" s="21"/>
      <c r="S28" s="20"/>
      <c r="T28" s="20"/>
      <c r="U28" s="20"/>
      <c r="V28" s="21"/>
      <c r="W28" s="20"/>
      <c r="X28" s="20"/>
      <c r="Y28" s="20"/>
      <c r="Z28" s="21"/>
      <c r="AA28" s="20"/>
      <c r="AB28" s="20"/>
      <c r="AC28" s="20"/>
      <c r="AD28" s="21"/>
      <c r="AE28" s="41"/>
      <c r="AF28" s="21"/>
      <c r="AG28" s="54"/>
      <c r="AH28" s="21"/>
      <c r="AI28" s="21"/>
      <c r="AJ28" s="21"/>
      <c r="AK28" s="93"/>
      <c r="AL28" s="134"/>
      <c r="AM28" s="135"/>
      <c r="AN28" s="135"/>
      <c r="AO28" s="135"/>
      <c r="AP28" s="135"/>
      <c r="AQ28" s="135"/>
      <c r="AR28" s="135"/>
      <c r="AS28" s="135"/>
      <c r="AT28" s="136"/>
    </row>
    <row r="29" spans="1:46" ht="13.5">
      <c r="A29" s="75"/>
      <c r="B29" s="51">
        <f>SUM(B7:B27)</f>
        <v>975716554</v>
      </c>
      <c r="C29" s="50">
        <f>SUM(C7:C27)</f>
        <v>68790511</v>
      </c>
      <c r="D29" s="51">
        <f>SUM(D7:D27)</f>
        <v>3512575</v>
      </c>
      <c r="E29" s="34"/>
      <c r="F29" s="51">
        <f>SUM(F7:F27)</f>
        <v>60960110</v>
      </c>
      <c r="G29" s="50">
        <f>SUM(G7:G27)</f>
        <v>23867122</v>
      </c>
      <c r="H29" s="51">
        <f>SUM(H7:H27)</f>
        <v>2309777</v>
      </c>
      <c r="I29" s="34"/>
      <c r="J29" s="51">
        <f>SUM(J7:J27)</f>
        <v>368553</v>
      </c>
      <c r="K29" s="50">
        <f>SUM(K7:K27)</f>
        <v>329558</v>
      </c>
      <c r="L29" s="51">
        <f>SUM(L7:L27)</f>
        <v>14303</v>
      </c>
      <c r="M29" s="60"/>
      <c r="N29" s="35"/>
      <c r="O29" s="51">
        <f>SUM(O7:O27)</f>
        <v>343251</v>
      </c>
      <c r="P29" s="50">
        <f>SUM(P7:P27)</f>
        <v>290255</v>
      </c>
      <c r="Q29" s="51">
        <f>SUM(Q7:Q27)</f>
        <v>14588</v>
      </c>
      <c r="R29" s="34"/>
      <c r="S29" s="51">
        <f>SUM(S7:S27)</f>
        <v>10254</v>
      </c>
      <c r="T29" s="50">
        <f>SUM(T7:T27)</f>
        <v>12637</v>
      </c>
      <c r="U29" s="51">
        <f>SUM(U7:U27)</f>
        <v>263</v>
      </c>
      <c r="V29" s="34"/>
      <c r="W29" s="51">
        <f>SUM(W7:W27)</f>
        <v>26999956</v>
      </c>
      <c r="X29" s="50">
        <f>SUM(X7:X27)</f>
        <v>1008332</v>
      </c>
      <c r="Y29" s="51">
        <f>SUM(Y7:Y27)</f>
        <v>40781</v>
      </c>
      <c r="Z29" s="34"/>
      <c r="AA29" s="51">
        <f>SUM(AA7:AA27)</f>
        <v>1294353086</v>
      </c>
      <c r="AB29" s="50">
        <f>SUM(AB7:AB27)</f>
        <v>45972</v>
      </c>
      <c r="AC29" s="51">
        <f>SUM(AC7:AC27)</f>
        <v>1387</v>
      </c>
      <c r="AD29" s="34"/>
      <c r="AE29" s="145">
        <f>SUM(AE7:AE27)</f>
        <v>94344387</v>
      </c>
      <c r="AF29" s="34">
        <f>SUM(AF7:AF27)</f>
        <v>5893674</v>
      </c>
      <c r="AG29" s="55">
        <f>IF(AE29=0,"",AE29/AF29)</f>
        <v>16.010000000000002</v>
      </c>
      <c r="AH29" s="146">
        <f>SUM(AH7:AH27)</f>
        <v>4578418</v>
      </c>
      <c r="AI29" s="36">
        <f>IF(AE29=0,"",AE29/AH29)</f>
        <v>20.61</v>
      </c>
      <c r="AJ29" s="37">
        <f>IF(AF29=0,"",(AF29/AH29))</f>
        <v>1.29</v>
      </c>
      <c r="AK29" s="94"/>
      <c r="AL29" s="134">
        <f t="shared" ref="AL29:AT29" si="27">SUM(AL7:AL27)</f>
        <v>196</v>
      </c>
      <c r="AM29" s="135" t="e">
        <f t="shared" si="27"/>
        <v>#REF!</v>
      </c>
      <c r="AN29" s="135" t="e">
        <f t="shared" si="27"/>
        <v>#REF!</v>
      </c>
      <c r="AO29" s="135" t="e">
        <f>SUM(AO7:AO27)</f>
        <v>#REF!</v>
      </c>
      <c r="AP29" s="135" t="e">
        <f t="shared" si="27"/>
        <v>#REF!</v>
      </c>
      <c r="AQ29" s="135" t="e">
        <f t="shared" si="27"/>
        <v>#VALUE!</v>
      </c>
      <c r="AR29" s="135" t="e">
        <f t="shared" si="27"/>
        <v>#REF!</v>
      </c>
      <c r="AS29" s="135" t="e">
        <f t="shared" si="27"/>
        <v>#REF!</v>
      </c>
      <c r="AT29" s="136" t="e">
        <f t="shared" si="27"/>
        <v>#VALUE!</v>
      </c>
    </row>
    <row r="30" spans="1:46" ht="13.5" thickBo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79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80"/>
      <c r="AF30" s="77"/>
      <c r="AG30" s="79" t="s">
        <v>74</v>
      </c>
      <c r="AH30" s="77"/>
      <c r="AI30" s="79" t="s">
        <v>74</v>
      </c>
      <c r="AJ30" s="79" t="s">
        <v>74</v>
      </c>
      <c r="AK30" s="95"/>
      <c r="AL30" s="140"/>
      <c r="AM30" s="141"/>
      <c r="AN30" s="141"/>
      <c r="AO30" s="141"/>
      <c r="AP30" s="141"/>
      <c r="AQ30" s="141"/>
      <c r="AR30" s="141"/>
      <c r="AS30" s="141"/>
      <c r="AT30" s="142"/>
    </row>
    <row r="31" spans="1:46" ht="15.75">
      <c r="A31" s="5"/>
      <c r="B31" s="101" t="s">
        <v>29</v>
      </c>
      <c r="C31" s="9"/>
      <c r="D31" s="9"/>
      <c r="E31" s="15"/>
      <c r="F31" s="16" t="s">
        <v>29</v>
      </c>
      <c r="G31" s="9"/>
      <c r="H31" s="9"/>
      <c r="I31" s="4"/>
      <c r="J31" s="16" t="s">
        <v>29</v>
      </c>
      <c r="L31" s="52"/>
      <c r="M31" s="4"/>
      <c r="N31" s="61"/>
      <c r="O31" s="16" t="s">
        <v>29</v>
      </c>
      <c r="P31" s="1"/>
      <c r="Q31" s="52"/>
      <c r="R31" s="107"/>
      <c r="S31" s="101" t="s">
        <v>29</v>
      </c>
      <c r="U31" s="52"/>
      <c r="V31" s="9"/>
      <c r="W31" s="16" t="s">
        <v>29</v>
      </c>
      <c r="Y31" s="52"/>
      <c r="Z31" s="4"/>
      <c r="AA31" s="16" t="s">
        <v>29</v>
      </c>
      <c r="AD31" s="4"/>
    </row>
    <row r="32" spans="1:46" ht="15.75">
      <c r="A32" s="5"/>
      <c r="B32" s="11"/>
      <c r="C32" s="12"/>
      <c r="D32" s="13"/>
      <c r="E32" s="14">
        <f>IF(AND(C29=0,D29=0),"N/A",(C29/D29))</f>
        <v>19.579999999999998</v>
      </c>
      <c r="F32" s="11"/>
      <c r="G32" s="12"/>
      <c r="H32" s="97" t="s">
        <v>30</v>
      </c>
      <c r="I32" s="17">
        <f>IF(AND(G16=0,H16=0),"N/A",G16/H16)</f>
        <v>13.27</v>
      </c>
      <c r="J32" s="18"/>
      <c r="K32" s="5"/>
      <c r="L32" s="53" t="s">
        <v>31</v>
      </c>
      <c r="M32" s="17">
        <f>IF(AND(K36=0,L36=0),"N/A",(K36/L36))</f>
        <v>24.16</v>
      </c>
      <c r="N32" s="62"/>
      <c r="O32" s="18"/>
      <c r="P32" s="5"/>
      <c r="Q32" s="53" t="s">
        <v>52</v>
      </c>
      <c r="R32" s="17">
        <f>IF(AND(P36=0,Q36=0),"N/A",(P36/Q36))</f>
        <v>19.899999999999999</v>
      </c>
      <c r="S32" s="11"/>
      <c r="T32" s="5"/>
      <c r="U32"/>
      <c r="V32" s="14">
        <f>IF(AND(T29=0,U29=0),"N/A",(T29/U29))</f>
        <v>48.05</v>
      </c>
      <c r="W32" s="5"/>
      <c r="X32" s="5"/>
      <c r="Y32"/>
      <c r="Z32" s="14">
        <f>IF(AND(X29=0,Y29=0),"N/A",(X29/Y29))</f>
        <v>24.73</v>
      </c>
      <c r="AA32" s="11"/>
      <c r="AB32" s="5"/>
      <c r="AC32"/>
      <c r="AD32" s="14">
        <f>IF(AND(AB29=0,AC29=0),"N/A",(AB29/AC29))</f>
        <v>33.14</v>
      </c>
    </row>
    <row r="33" spans="1:30" ht="15.75">
      <c r="B33" s="98"/>
      <c r="C33" s="99"/>
      <c r="D33" s="99"/>
      <c r="E33" s="100"/>
      <c r="F33" s="102"/>
      <c r="G33" s="99"/>
      <c r="H33" s="103" t="s">
        <v>32</v>
      </c>
      <c r="I33" s="105">
        <f>IF(G29=0,"N/A",(G$29-G$16)/(H$29-H$16))</f>
        <v>10.32</v>
      </c>
      <c r="J33" s="98"/>
      <c r="K33" s="99"/>
      <c r="L33" s="104" t="s">
        <v>33</v>
      </c>
      <c r="M33" s="105">
        <f>IF(K$37=0,"N/A",(K$37/L$37))</f>
        <v>20.65</v>
      </c>
      <c r="N33" s="106"/>
      <c r="O33" s="98"/>
      <c r="P33" s="99"/>
      <c r="Q33" s="104" t="s">
        <v>53</v>
      </c>
      <c r="R33" s="105" t="str">
        <f>IF(P$37=0,"N/A",(P$37/Q$37))</f>
        <v>N/A</v>
      </c>
      <c r="S33" s="98"/>
      <c r="T33" s="99"/>
      <c r="U33" s="99"/>
      <c r="V33" s="100"/>
      <c r="W33" s="99"/>
      <c r="X33" s="99"/>
      <c r="Y33" s="99"/>
      <c r="Z33" s="100"/>
      <c r="AA33" s="98"/>
      <c r="AB33" s="99"/>
      <c r="AC33" s="99"/>
      <c r="AD33" s="100"/>
    </row>
    <row r="34" spans="1:30">
      <c r="A34" s="5"/>
      <c r="H34"/>
      <c r="I34"/>
      <c r="L34"/>
      <c r="M34"/>
    </row>
    <row r="35" spans="1:30">
      <c r="J35" s="2"/>
      <c r="K35" s="7"/>
      <c r="L35" s="3"/>
      <c r="M35" s="9"/>
      <c r="O35" s="2"/>
      <c r="P35" s="7"/>
      <c r="Q35" s="3"/>
    </row>
    <row r="36" spans="1:30">
      <c r="J36" s="47">
        <f>SUM(J7:J14,J18,J21:J26)</f>
        <v>255410</v>
      </c>
      <c r="K36" s="48">
        <f>SUM(K7:K14,K18,K21:K26)</f>
        <v>239546</v>
      </c>
      <c r="L36" s="49">
        <f>SUM(L7:L14,L18,L21:L26)</f>
        <v>9913</v>
      </c>
      <c r="M36" s="8"/>
      <c r="O36" s="47">
        <f>SUM(O7:O14,O18,O21:O26)</f>
        <v>343251</v>
      </c>
      <c r="P36" s="48">
        <f>SUM(P7:P14,P18,P21:P26)</f>
        <v>290255</v>
      </c>
      <c r="Q36" s="49">
        <f>SUM(Q7:Q14,Q18,Q21:Q26)</f>
        <v>14588</v>
      </c>
    </row>
    <row r="37" spans="1:30">
      <c r="J37" s="47">
        <f>SUM(J16:J19,J20)</f>
        <v>119273</v>
      </c>
      <c r="K37" s="48">
        <f>SUM(K16:K19,K20)</f>
        <v>95555</v>
      </c>
      <c r="L37" s="49">
        <f>SUM(L16:L19,L20)</f>
        <v>4628</v>
      </c>
      <c r="M37" s="8"/>
      <c r="O37" s="47">
        <f>SUM(O16:O19,O20)</f>
        <v>0</v>
      </c>
      <c r="P37" s="48">
        <f>SUM(P16:P19,P20)</f>
        <v>0</v>
      </c>
      <c r="Q37" s="49">
        <f>SUM(Q16:Q19,Q20)</f>
        <v>0</v>
      </c>
    </row>
    <row r="38" spans="1:30">
      <c r="J38" s="56">
        <f>J36+J37</f>
        <v>374683</v>
      </c>
      <c r="K38" s="57">
        <f>K36+K37</f>
        <v>335101</v>
      </c>
      <c r="L38" s="58">
        <f>L36+L37</f>
        <v>14541</v>
      </c>
      <c r="M38" s="10"/>
      <c r="O38" s="56">
        <f>O36+O37</f>
        <v>343251</v>
      </c>
      <c r="P38" s="57">
        <f>P36+P37</f>
        <v>290255</v>
      </c>
      <c r="Q38" s="58">
        <f>Q36+Q37</f>
        <v>14588</v>
      </c>
    </row>
    <row r="39" spans="1:30">
      <c r="J39" s="56">
        <f>J29</f>
        <v>368553</v>
      </c>
      <c r="K39" s="57">
        <f>K29</f>
        <v>329558</v>
      </c>
      <c r="L39" s="58">
        <f>L29</f>
        <v>14303</v>
      </c>
      <c r="M39" s="8"/>
      <c r="O39" s="56">
        <f>O29</f>
        <v>343251</v>
      </c>
      <c r="P39" s="57">
        <f>P29</f>
        <v>290255</v>
      </c>
      <c r="Q39" s="58">
        <f>Q29</f>
        <v>14588</v>
      </c>
    </row>
  </sheetData>
  <phoneticPr fontId="0" type="noConversion"/>
  <printOptions horizontalCentered="1" gridLinesSet="0"/>
  <pageMargins left="0" right="0" top="1.3779527559055118" bottom="1.1811023622047245" header="0.9055118110236221" footer="0.9055118110236221"/>
  <pageSetup scale="95" orientation="landscape" r:id="rId1"/>
  <headerFooter alignWithMargins="0">
    <oddHeader xml:space="preserve">&amp;C&amp;"Geneva,Gras"RELEVÉS ÉNERGÉTIQUES DES BÂTIMENTS DU RÉSEAU UNIVERSITAIRE
POUR 2017-2018&amp;R&amp;"N Helvetica Narrow,Normal"&amp;14 </oddHeader>
    <oddFooter>&amp;L&amp;"N Helvetica Narrow,Normal"MEES - DEDIES&amp;C&amp;F&amp;RImprimé le &amp;D - &amp;P de &amp;N</oddFooter>
  </headerFooter>
  <colBreaks count="5" manualBreakCount="5">
    <brk id="9" max="1048575" man="1"/>
    <brk id="18" max="1048575" man="1"/>
    <brk id="26" max="1048575" man="1"/>
    <brk id="30" max="1048575" man="1"/>
    <brk id="3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sommaire univ</vt:lpstr>
      <vt:lpstr>'sommaire univ'!Print_Area</vt:lpstr>
      <vt:lpstr>'sommaire univ'!Print_Titles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Faucher</dc:creator>
  <cp:lastModifiedBy>Olivier Bemmann</cp:lastModifiedBy>
  <cp:lastPrinted>2016-04-11T19:55:46Z</cp:lastPrinted>
  <dcterms:created xsi:type="dcterms:W3CDTF">1999-09-22T17:36:25Z</dcterms:created>
  <dcterms:modified xsi:type="dcterms:W3CDTF">2020-02-04T21:48:23Z</dcterms:modified>
</cp:coreProperties>
</file>